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85" windowWidth="19440" windowHeight="5145" tabRatio="626" activeTab="0"/>
  </bookViews>
  <sheets>
    <sheet name="ВАЖНО!" sheetId="1" r:id="rId1"/>
    <sheet name="Заполнить !" sheetId="2" r:id="rId2"/>
    <sheet name="Журнал регистрации НК" sheetId="3" r:id="rId3"/>
    <sheet name="Журнал регистрации КС" sheetId="4" r:id="rId4"/>
    <sheet name="Отчёт" sheetId="5" r:id="rId5"/>
    <sheet name="Сводный" sheetId="6" state="hidden" r:id="rId6"/>
    <sheet name="Списки" sheetId="7" state="hidden" r:id="rId7"/>
  </sheets>
  <definedNames>
    <definedName name="_xlfn.COUNTIFS" hidden="1">#NAME?</definedName>
    <definedName name="_xlfn.SUMIFS" hidden="1">#NAME?</definedName>
    <definedName name="Вид_туризма">'Списки'!$A$14:$A$20</definedName>
    <definedName name="Видтуризма">'Списки'!$A$14:$A$19</definedName>
    <definedName name="Городокр">'Списки'!$E$2:$E$18</definedName>
    <definedName name="Категориясложности">'Списки'!$A$22:$A$28</definedName>
    <definedName name="Муниципокр">'Списки'!$F$2:$F$20</definedName>
    <definedName name="Районадм">'Списки'!$D$3:$D$36</definedName>
    <definedName name="Районор">'Списки'!$C$3:$C$57</definedName>
    <definedName name="Сложностьмаршрута">'Списки'!$A$3:$A$11</definedName>
  </definedNames>
  <calcPr fullCalcOnLoad="1"/>
</workbook>
</file>

<file path=xl/comments3.xml><?xml version="1.0" encoding="utf-8"?>
<comments xmlns="http://schemas.openxmlformats.org/spreadsheetml/2006/main">
  <authors>
    <author>Пользователь Windows</author>
  </authors>
  <commentList>
    <comment ref="B4" authorId="0">
      <text>
        <r>
          <rPr>
            <b/>
            <sz val="9"/>
            <rFont val="Arial"/>
            <family val="2"/>
          </rPr>
          <t>В формате 1-24</t>
        </r>
      </text>
    </comment>
    <comment ref="M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N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O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B4" authorId="0">
      <text>
        <r>
          <rPr>
            <b/>
            <sz val="9"/>
            <rFont val="Arial"/>
            <family val="2"/>
          </rPr>
          <t>В формате 1-24</t>
        </r>
      </text>
    </comment>
    <comment ref="M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N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  <comment ref="T4" authorId="0">
      <text>
        <r>
          <rPr>
            <b/>
            <sz val="9"/>
            <rFont val="Tahoma"/>
            <family val="2"/>
          </rPr>
          <t>Изменение КС, незачёт руководства, запрет участия в ТСМ или руководства ТСМ, без права зачёта на разряд и т.д.</t>
        </r>
      </text>
    </comment>
    <comment ref="P5" authorId="0">
      <text>
        <r>
          <rPr>
            <b/>
            <sz val="9"/>
            <color indexed="16"/>
            <rFont val="Arial"/>
            <family val="2"/>
          </rPr>
          <t>В формате ДД.ММ.ГГ</t>
        </r>
      </text>
    </comment>
  </commentList>
</comments>
</file>

<file path=xl/sharedStrings.xml><?xml version="1.0" encoding="utf-8"?>
<sst xmlns="http://schemas.openxmlformats.org/spreadsheetml/2006/main" count="542" uniqueCount="212">
  <si>
    <t>№</t>
  </si>
  <si>
    <t>Ф.И.О.  Руководителя</t>
  </si>
  <si>
    <t>Маршрут</t>
  </si>
  <si>
    <t>Дата выхода на маршрут</t>
  </si>
  <si>
    <t>Дата окончания маршрута</t>
  </si>
  <si>
    <t>Примечание</t>
  </si>
  <si>
    <t>Водный</t>
  </si>
  <si>
    <t>Горный</t>
  </si>
  <si>
    <t>Спелео</t>
  </si>
  <si>
    <t>Лыжный</t>
  </si>
  <si>
    <t>Туристская группа</t>
  </si>
  <si>
    <t>Сложность маршрута</t>
  </si>
  <si>
    <t>1 ст.сл.</t>
  </si>
  <si>
    <t>2 ст.сл.</t>
  </si>
  <si>
    <t>3 ст.сл.</t>
  </si>
  <si>
    <t>2 ст.сл. с эл. 1КС</t>
  </si>
  <si>
    <t>3 ст.сл. с эл. 1КС</t>
  </si>
  <si>
    <t>Сложностьмаршрута</t>
  </si>
  <si>
    <t>Вид туризма</t>
  </si>
  <si>
    <t>Пешеходный</t>
  </si>
  <si>
    <t>Зачёт туристского спортивного маршрута</t>
  </si>
  <si>
    <t>Маршрут зачтён</t>
  </si>
  <si>
    <t xml:space="preserve">Кольский полуостров </t>
  </si>
  <si>
    <t xml:space="preserve">Карелия </t>
  </si>
  <si>
    <t xml:space="preserve">Архангельская обл. и Республика Коми </t>
  </si>
  <si>
    <t xml:space="preserve">Ленинградская, Вологодская обл. </t>
  </si>
  <si>
    <t xml:space="preserve">Карпаты </t>
  </si>
  <si>
    <t xml:space="preserve">Крым </t>
  </si>
  <si>
    <t xml:space="preserve">Закавказье </t>
  </si>
  <si>
    <t xml:space="preserve">Памир </t>
  </si>
  <si>
    <t xml:space="preserve">Джунгарский Алатау </t>
  </si>
  <si>
    <t xml:space="preserve">Кузнецкий Алатау </t>
  </si>
  <si>
    <t xml:space="preserve">Горная Шория </t>
  </si>
  <si>
    <t xml:space="preserve">Салаирский кряж </t>
  </si>
  <si>
    <t xml:space="preserve">Плато Путорана </t>
  </si>
  <si>
    <t xml:space="preserve">Становой хребет и Алданское нагорье </t>
  </si>
  <si>
    <t xml:space="preserve">Верхоянский хребет </t>
  </si>
  <si>
    <t xml:space="preserve">Приморье </t>
  </si>
  <si>
    <t xml:space="preserve">Сахалин </t>
  </si>
  <si>
    <t>Справки выданы в 
кол-ве, шт.</t>
  </si>
  <si>
    <t>Районадм</t>
  </si>
  <si>
    <t>Районор</t>
  </si>
  <si>
    <t>Кемеровская область</t>
  </si>
  <si>
    <t>Кавказ Восточный</t>
  </si>
  <si>
    <t>Тянь-Шань Западный</t>
  </si>
  <si>
    <t>Урал Полярный</t>
  </si>
  <si>
    <t>Урал Приполярный</t>
  </si>
  <si>
    <t>Урал Южный</t>
  </si>
  <si>
    <t>Тянь-Шань Северный</t>
  </si>
  <si>
    <t>Тянь-Шань Центральный</t>
  </si>
  <si>
    <t>Кавказ Центральный</t>
  </si>
  <si>
    <t>Кавказ Западный</t>
  </si>
  <si>
    <t>Район проведения ТСМ</t>
  </si>
  <si>
    <t>Восточно-Европейская равнина (юг)</t>
  </si>
  <si>
    <t>Восточно-Европейская равнина (центр)</t>
  </si>
  <si>
    <t>Восточно-Европейская равнина (север)</t>
  </si>
  <si>
    <t>Урал Северный</t>
  </si>
  <si>
    <t>Урал Средний</t>
  </si>
  <si>
    <t>Западная Сибирь (север)</t>
  </si>
  <si>
    <t>Западная Сибирь (средняя и южная)</t>
  </si>
  <si>
    <t>Казахский мелкосопочник и Тургайское плато</t>
  </si>
  <si>
    <t>Гиссаро-Алай</t>
  </si>
  <si>
    <t>Матчинский горный узел</t>
  </si>
  <si>
    <t>Алтай (горный)</t>
  </si>
  <si>
    <t>Алтай (другие районы)</t>
  </si>
  <si>
    <t>Саян Восточный</t>
  </si>
  <si>
    <t>Прибайкалье</t>
  </si>
  <si>
    <t>Забайкалье</t>
  </si>
  <si>
    <t>Таймыр</t>
  </si>
  <si>
    <t>Среднесибирское плоскогорье</t>
  </si>
  <si>
    <t>Центральная Якутия</t>
  </si>
  <si>
    <t>Северо-Восточная Сибирь</t>
  </si>
  <si>
    <t>Север Дальнего Востока</t>
  </si>
  <si>
    <t>Камчатка</t>
  </si>
  <si>
    <t>Курильские острова</t>
  </si>
  <si>
    <t>Приамурье</t>
  </si>
  <si>
    <t>Островная Арктика</t>
  </si>
  <si>
    <t>Саян Западный</t>
  </si>
  <si>
    <t>Средняя Азия (пустыни и полупустыни)</t>
  </si>
  <si>
    <t xml:space="preserve">Кодар и Удокан </t>
  </si>
  <si>
    <t>Организация, 
проводящая маршрут</t>
  </si>
  <si>
    <t>РЕГИСТРАЦИЯ ТУРИСТСКИХ ГРУПП, СОВЕРШАЮЩИХ КАТЕГОРИЙНЫЕ МАРШРУТЫ</t>
  </si>
  <si>
    <t>Категориясложности</t>
  </si>
  <si>
    <t>Рецензенты, члены МКК</t>
  </si>
  <si>
    <t>Категория сложности маршрута</t>
  </si>
  <si>
    <t>Маршрут зачтён, КС</t>
  </si>
  <si>
    <t>1 с эл. 2 КС</t>
  </si>
  <si>
    <t>2 с эл. 3 КС</t>
  </si>
  <si>
    <t>Ф.И.О. членов МКК, рассмотревших МК</t>
  </si>
  <si>
    <t>№ МК</t>
  </si>
  <si>
    <t>Категория сложности маршрутов</t>
  </si>
  <si>
    <t>Всего маршрутов</t>
  </si>
  <si>
    <t>Всего уч-ков</t>
  </si>
  <si>
    <t>Н/К</t>
  </si>
  <si>
    <t>Уч-ков</t>
  </si>
  <si>
    <t>1 КС</t>
  </si>
  <si>
    <t>2 КС</t>
  </si>
  <si>
    <t>3 КС</t>
  </si>
  <si>
    <t>4 КС</t>
  </si>
  <si>
    <t>ИТОГО:</t>
  </si>
  <si>
    <t>Туристский район</t>
  </si>
  <si>
    <t>Категория сложности маршруты</t>
  </si>
  <si>
    <t>ГОД</t>
  </si>
  <si>
    <t>ОТЧЁТ-ИНФОРМАЦИЯ ЗА</t>
  </si>
  <si>
    <t>1. Полномочия МКК:</t>
  </si>
  <si>
    <t xml:space="preserve">2. Дата окончания полномочий: </t>
  </si>
  <si>
    <t>3. Количество спортивных маршрутов (участников) рассмотренных в МКК:</t>
  </si>
  <si>
    <t>Категорийные маршруты:</t>
  </si>
  <si>
    <t>Участников категорийных маршрутов:</t>
  </si>
  <si>
    <t>Некатегорийные маршруты:</t>
  </si>
  <si>
    <t>Участников некатегорийных маршрутов:</t>
  </si>
  <si>
    <t>4. Туристские районы, в которых проводились маршруты:</t>
  </si>
  <si>
    <t xml:space="preserve"> </t>
  </si>
  <si>
    <t xml:space="preserve">Западная Тыва, Шапшальский хр., Монгольский Алтай </t>
  </si>
  <si>
    <t>Инструкция по заполнению</t>
  </si>
  <si>
    <t>Наименование МКК</t>
  </si>
  <si>
    <t>маршрутно-квалификационной комиссии</t>
  </si>
  <si>
    <t>Полномочия МКК (шифр)</t>
  </si>
  <si>
    <t>Дата окончания полномочий</t>
  </si>
  <si>
    <t>Н.А. Аксенова</t>
  </si>
  <si>
    <t xml:space="preserve">  М.П.</t>
  </si>
  <si>
    <t xml:space="preserve">     Председатель МКК</t>
  </si>
  <si>
    <t xml:space="preserve">     Cекретарь МКК</t>
  </si>
  <si>
    <t>Председатель МКК</t>
  </si>
  <si>
    <t>Секретарь МКК</t>
  </si>
  <si>
    <t>kuzturotdel@yandex.ru</t>
  </si>
  <si>
    <t xml:space="preserve"> E-mail:</t>
  </si>
  <si>
    <t>На вкладках "Журнал регистрации" возможно удаление строк. В этом случае строки нумеруются автоматически до конца таблицы.</t>
  </si>
  <si>
    <r>
      <t xml:space="preserve">На вкладках "Журнал регистрации" возможно добавление новых строк. Для корректной нумерации во вставленной строке в </t>
    </r>
    <r>
      <rPr>
        <b/>
        <sz val="11"/>
        <rFont val="Arial Cyr"/>
        <family val="0"/>
      </rPr>
      <t>столбце А</t>
    </r>
    <r>
      <rPr>
        <sz val="11"/>
        <rFont val="Arial Cyr"/>
        <family val="2"/>
      </rPr>
      <t xml:space="preserve"> необходимо протянуть формулу из предыдущей строки в </t>
    </r>
    <r>
      <rPr>
        <b/>
        <sz val="11"/>
        <rFont val="Arial Cyr"/>
        <family val="0"/>
      </rPr>
      <t>ячейку А</t>
    </r>
    <r>
      <rPr>
        <sz val="11"/>
        <rFont val="Arial Cyr"/>
        <family val="2"/>
      </rPr>
      <t xml:space="preserve"> вновь вставленной строки. В этом случае строки пронумеруются автоматически до конца таблицы.</t>
    </r>
  </si>
  <si>
    <r>
      <t xml:space="preserve">На вкладке </t>
    </r>
    <r>
      <rPr>
        <b/>
        <sz val="11"/>
        <color indexed="62"/>
        <rFont val="Arial Cyr"/>
        <family val="0"/>
      </rPr>
      <t>"Журнал регистрации КС"</t>
    </r>
    <r>
      <rPr>
        <sz val="11"/>
        <rFont val="Arial Cyr"/>
        <family val="2"/>
      </rPr>
      <t xml:space="preserve"> заполнение производить в форматах указанных в подсказках и всплывающих окнах.</t>
    </r>
  </si>
  <si>
    <r>
      <t xml:space="preserve">На вкладке </t>
    </r>
    <r>
      <rPr>
        <b/>
        <sz val="11"/>
        <color indexed="53"/>
        <rFont val="Arial Cyr"/>
        <family val="0"/>
      </rPr>
      <t>"Заполнить !"</t>
    </r>
    <r>
      <rPr>
        <sz val="11"/>
        <color indexed="8"/>
        <rFont val="Arial Cyr"/>
        <family val="0"/>
      </rPr>
      <t xml:space="preserve"> </t>
    </r>
    <r>
      <rPr>
        <sz val="11"/>
        <rFont val="Arial Cyr"/>
        <family val="2"/>
      </rPr>
      <t>заполните информацию о Вашей МКК.</t>
    </r>
  </si>
  <si>
    <r>
      <t xml:space="preserve">На вкладке </t>
    </r>
    <r>
      <rPr>
        <b/>
        <sz val="11"/>
        <color indexed="11"/>
        <rFont val="Arial Cyr"/>
        <family val="0"/>
      </rPr>
      <t>"Журнал регистрации НК"</t>
    </r>
    <r>
      <rPr>
        <b/>
        <sz val="11"/>
        <color indexed="11"/>
        <rFont val="Arial Cyr"/>
        <family val="0"/>
      </rPr>
      <t xml:space="preserve"> </t>
    </r>
    <r>
      <rPr>
        <sz val="11"/>
        <rFont val="Arial Cyr"/>
        <family val="2"/>
      </rPr>
      <t>заполнение производить в форматах указанных в подсказках и всплывающих окнах.</t>
    </r>
  </si>
  <si>
    <t>Пароль</t>
  </si>
  <si>
    <t>mkk</t>
  </si>
  <si>
    <t>Количество руководителей и участников старше 21 года</t>
  </si>
  <si>
    <t>Рук.</t>
  </si>
  <si>
    <t>Дата рассмотрения маршрутных документов</t>
  </si>
  <si>
    <t>Рук-лей категорийных маршрутов:</t>
  </si>
  <si>
    <t>Рук-лей некатегорийных маршрутов:</t>
  </si>
  <si>
    <r>
      <t xml:space="preserve">Рук-лей и уч-ков </t>
    </r>
    <r>
      <rPr>
        <sz val="10"/>
        <rFont val="Arial"/>
        <family val="2"/>
      </rPr>
      <t>&gt;</t>
    </r>
    <r>
      <rPr>
        <sz val="10"/>
        <rFont val="Arial Cyr"/>
        <family val="0"/>
      </rPr>
      <t>21 года</t>
    </r>
  </si>
  <si>
    <r>
      <t xml:space="preserve">Для отображения заполненного отчёта нажмите кнопку </t>
    </r>
    <r>
      <rPr>
        <b/>
        <sz val="11"/>
        <color indexed="10"/>
        <rFont val="Arial Cyr"/>
        <family val="0"/>
      </rPr>
      <t>"Пересчитать". Дождитесь окончания операции.</t>
    </r>
  </si>
  <si>
    <t>Анжеро-Судженский г.о.</t>
  </si>
  <si>
    <t>Беловский г.о.</t>
  </si>
  <si>
    <t>Берёзовский г.о.</t>
  </si>
  <si>
    <t>Ленинск-Кузнецкий м.о.</t>
  </si>
  <si>
    <t>Калтанский г.о.</t>
  </si>
  <si>
    <t>Киселёвский г.о.</t>
  </si>
  <si>
    <t>Ленинск-Кузнецкий г.о.</t>
  </si>
  <si>
    <t>Мысковский г.о.</t>
  </si>
  <si>
    <t>Осинниковский г.о.</t>
  </si>
  <si>
    <t>Полысаевский г.о.</t>
  </si>
  <si>
    <t>Прокопьевский г.о.</t>
  </si>
  <si>
    <t>Тайгинский г.о.</t>
  </si>
  <si>
    <t>Юргинский г.о.</t>
  </si>
  <si>
    <t>Промышленновский м.о.</t>
  </si>
  <si>
    <t>Новокузнецкий г.о.</t>
  </si>
  <si>
    <t>Гурьевский м.о.</t>
  </si>
  <si>
    <t>Ижморский м.о.</t>
  </si>
  <si>
    <t>Кемеровский м.о.</t>
  </si>
  <si>
    <t>Крапивинский м.о.</t>
  </si>
  <si>
    <t>Междуреченский г.о.</t>
  </si>
  <si>
    <t>Прокопьевский м.о.</t>
  </si>
  <si>
    <t>Топкинский м.о.</t>
  </si>
  <si>
    <t>Тяжинский м.о.</t>
  </si>
  <si>
    <t>Чебулинский м.о.</t>
  </si>
  <si>
    <t>Юргинский м.о.</t>
  </si>
  <si>
    <t>Яйский м.о.</t>
  </si>
  <si>
    <t>Яшкинский м.о.</t>
  </si>
  <si>
    <t>Руководителей категорийных маршрутов:</t>
  </si>
  <si>
    <t>Руководителей некатегорийных маршрутов:</t>
  </si>
  <si>
    <r>
      <t xml:space="preserve">В случае, если группа не вышла на маршрут, </t>
    </r>
    <r>
      <rPr>
        <b/>
        <sz val="11"/>
        <rFont val="Arial Cyr"/>
        <family val="0"/>
      </rPr>
      <t>удалите информацию из столбцов от G до L</t>
    </r>
    <r>
      <rPr>
        <sz val="11"/>
        <rFont val="Arial Cyr"/>
        <family val="2"/>
      </rPr>
      <t xml:space="preserve"> (количество рук-лей, участников, сложность, вид туризма, районы проведения ТСМ). Она не будет отображаться в отчёте. Удалять строки не надо.</t>
    </r>
  </si>
  <si>
    <t xml:space="preserve">МКК ГАУДО "КУЗБАССКИЙ ЦЕНТР ДЕТСКОГО И ЮНОШЕСКОГО ТУРИЗМА И ЭКСКУРСИЙ" </t>
  </si>
  <si>
    <t>Е.А.Шинкаренко</t>
  </si>
  <si>
    <t>Готовый отчёт можно распечатать.</t>
  </si>
  <si>
    <t>НЕЛЬЗЯ вносить изменения на вкладке "Отчёт"!!! Он формируется АВТОМАТИЧЕСКИ!!!</t>
  </si>
  <si>
    <r>
      <rPr>
        <b/>
        <sz val="11"/>
        <color indexed="10"/>
        <rFont val="Arial Cyr"/>
        <family val="0"/>
      </rPr>
      <t xml:space="preserve">"Отчет" </t>
    </r>
    <r>
      <rPr>
        <sz val="11"/>
        <rFont val="Arial Cyr"/>
        <family val="0"/>
      </rPr>
      <t>формируется полностью автоматически</t>
    </r>
    <r>
      <rPr>
        <sz val="11"/>
        <rFont val="Arial Cyr"/>
        <family val="2"/>
      </rPr>
      <t xml:space="preserve"> при корректном заполнении журнала и вкладки "Заполнить !".</t>
    </r>
  </si>
  <si>
    <t>Велосипедный</t>
  </si>
  <si>
    <t>УТП</t>
  </si>
  <si>
    <t>Городокр</t>
  </si>
  <si>
    <t>Муниципокр</t>
  </si>
  <si>
    <t>Наименование муниципального образования</t>
  </si>
  <si>
    <t>Беловский м.о.</t>
  </si>
  <si>
    <t>Мариинский м.о.</t>
  </si>
  <si>
    <t>Тисульский м.о.</t>
  </si>
  <si>
    <t>г.Кемерово</t>
  </si>
  <si>
    <t>Новокузнецкий м.р.</t>
  </si>
  <si>
    <t>Таштагольский м.р.</t>
  </si>
  <si>
    <t>1-4 КС</t>
  </si>
  <si>
    <t>Рук-лей и уч-ков &gt;21 года</t>
  </si>
  <si>
    <t>Всего участников</t>
  </si>
  <si>
    <r>
      <t xml:space="preserve">Уч-ков </t>
    </r>
    <r>
      <rPr>
        <b/>
        <sz val="9"/>
        <rFont val="Arial"/>
        <family val="2"/>
      </rPr>
      <t xml:space="preserve">&lt; </t>
    </r>
    <r>
      <rPr>
        <b/>
        <sz val="9"/>
        <rFont val="Arial Cyr"/>
        <family val="0"/>
      </rPr>
      <t>21 года</t>
    </r>
  </si>
  <si>
    <t>5. Количество походов и участников походов по муниципальным образованиям</t>
  </si>
  <si>
    <t>Всего уч-ков &lt; 21 года</t>
  </si>
  <si>
    <t>Кол-во участников младше 21 года в  группе</t>
  </si>
  <si>
    <t>декабрь 2025 г.</t>
  </si>
  <si>
    <t>242-51-434310000</t>
  </si>
  <si>
    <t>Комбинированный</t>
  </si>
  <si>
    <t>Вид_туризма</t>
  </si>
  <si>
    <t>1 ст.сл. с эл. 1КС</t>
  </si>
  <si>
    <t>Средства связи группы на маршруте, номер телефна</t>
  </si>
  <si>
    <t>ГАУДО КЦДЮТЭ</t>
  </si>
  <si>
    <t>КЦДЮТЭ</t>
  </si>
  <si>
    <t>Путешествие</t>
  </si>
  <si>
    <t>Экспедиция</t>
  </si>
  <si>
    <t>РЕГИСТРАЦИЯ ТУРИСТСКИХ ГРУПП, СОВЕРШАЮЩИХ УЧЕБНО-ТРЕНИРОВОЧНЫЕ ПОХОДЫ, СТЕПЕННЫЕ МАРШРУТЫ, ПУТЕШЕСТВИЯ И ЭКСПЕДИЦИИ</t>
  </si>
  <si>
    <t>Средства связи группы на маршруте, номер телефона</t>
  </si>
  <si>
    <t>№ МЛ (МК)</t>
  </si>
  <si>
    <t>Муниципальное образование, если маршрут пролегает по территории Кемеровской области</t>
  </si>
  <si>
    <t>3 ст. с эл. 1 КС</t>
  </si>
  <si>
    <t>Новокузнецкий м.о.</t>
  </si>
  <si>
    <t>Внесите данные о вашей МКК !!!</t>
  </si>
  <si>
    <t>1-24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</si>
</sst>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00000"/>
    <numFmt numFmtId="168" formatCode="[$-FC19]d\ mmmm\ yyyy\ &quot;г.&quot;"/>
    <numFmt numFmtId="169" formatCode="mmm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77">
    <font>
      <sz val="10"/>
      <name val="Arial Cyr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6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Arial Cyr"/>
      <family val="0"/>
    </font>
    <font>
      <b/>
      <sz val="11"/>
      <color indexed="62"/>
      <name val="Arial Cyr"/>
      <family val="0"/>
    </font>
    <font>
      <b/>
      <sz val="11"/>
      <color indexed="11"/>
      <name val="Arial Cyr"/>
      <family val="0"/>
    </font>
    <font>
      <b/>
      <sz val="11"/>
      <color indexed="53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2"/>
    </font>
    <font>
      <sz val="14"/>
      <color indexed="40"/>
      <name val="Arial Cyr"/>
      <family val="2"/>
    </font>
    <font>
      <sz val="16"/>
      <color indexed="40"/>
      <name val="Arial Cyr"/>
      <family val="2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0"/>
      <color indexed="30"/>
      <name val="Arial Cyr"/>
      <family val="0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2"/>
    </font>
    <font>
      <sz val="14"/>
      <color rgb="FF00B0F0"/>
      <name val="Arial Cyr"/>
      <family val="2"/>
    </font>
    <font>
      <sz val="16"/>
      <color rgb="FF00B0F0"/>
      <name val="Arial Cyr"/>
      <family val="2"/>
    </font>
    <font>
      <b/>
      <sz val="11"/>
      <color rgb="FFFF0000"/>
      <name val="Arial Cyr"/>
      <family val="0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0"/>
      <color rgb="FF0070C0"/>
      <name val="Arial Cyr"/>
      <family val="0"/>
    </font>
    <font>
      <b/>
      <sz val="14"/>
      <color rgb="FFFF0000"/>
      <name val="Arial Cyr"/>
      <family val="0"/>
    </font>
    <font>
      <b/>
      <sz val="8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rgb="FFFBF4F3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rgb="FFF6E4E2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rgb="FFFBFFC5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DFF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65" fillId="0" borderId="0" xfId="0" applyFont="1" applyAlignment="1">
      <alignment/>
    </xf>
    <xf numFmtId="0" fontId="0" fillId="33" borderId="0" xfId="0" applyFill="1" applyAlignment="1">
      <alignment/>
    </xf>
    <xf numFmtId="0" fontId="66" fillId="0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167" fontId="0" fillId="36" borderId="10" xfId="0" applyNumberFormat="1" applyFont="1" applyFill="1" applyBorder="1" applyAlignment="1">
      <alignment horizontal="center" vertical="center" wrapText="1"/>
    </xf>
    <xf numFmtId="1" fontId="0" fillId="36" borderId="10" xfId="0" applyNumberFormat="1" applyFont="1" applyFill="1" applyBorder="1" applyAlignment="1">
      <alignment horizontal="center" vertical="center"/>
    </xf>
    <xf numFmtId="167" fontId="0" fillId="36" borderId="10" xfId="0" applyNumberFormat="1" applyFont="1" applyFill="1" applyBorder="1" applyAlignment="1">
      <alignment horizontal="left"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166" fontId="0" fillId="37" borderId="10" xfId="0" applyNumberFormat="1" applyFont="1" applyFill="1" applyBorder="1" applyAlignment="1">
      <alignment horizontal="center" vertical="center"/>
    </xf>
    <xf numFmtId="166" fontId="0" fillId="37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1" fontId="0" fillId="37" borderId="10" xfId="0" applyNumberFormat="1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9" borderId="13" xfId="0" applyFont="1" applyFill="1" applyBorder="1" applyAlignment="1">
      <alignment horizontal="center" vertical="center" wrapText="1"/>
    </xf>
    <xf numFmtId="166" fontId="0" fillId="37" borderId="14" xfId="0" applyNumberFormat="1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 vertical="center" wrapText="1"/>
      <protection/>
    </xf>
    <xf numFmtId="0" fontId="11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11" fillId="0" borderId="0" xfId="53" applyFont="1" applyBorder="1" applyAlignment="1">
      <alignment horizontal="right"/>
      <protection/>
    </xf>
    <xf numFmtId="0" fontId="11" fillId="0" borderId="0" xfId="53" applyFont="1" applyFill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0" fillId="0" borderId="0" xfId="53" applyBorder="1">
      <alignment/>
      <protection/>
    </xf>
    <xf numFmtId="0" fontId="0" fillId="0" borderId="0" xfId="53" applyFill="1" applyBorder="1">
      <alignment/>
      <protection/>
    </xf>
    <xf numFmtId="0" fontId="3" fillId="0" borderId="16" xfId="53" applyFont="1" applyBorder="1" applyAlignment="1">
      <alignment horizontal="right"/>
      <protection/>
    </xf>
    <xf numFmtId="0" fontId="11" fillId="0" borderId="0" xfId="53" applyFont="1" applyAlignment="1">
      <alignment vertical="center" wrapText="1"/>
      <protection/>
    </xf>
    <xf numFmtId="0" fontId="0" fillId="0" borderId="0" xfId="53" applyFont="1" applyAlignment="1">
      <alignment horizontal="left" vertical="center"/>
      <protection/>
    </xf>
    <xf numFmtId="0" fontId="11" fillId="0" borderId="0" xfId="53" applyFont="1">
      <alignment/>
      <protection/>
    </xf>
    <xf numFmtId="0" fontId="11" fillId="0" borderId="0" xfId="53" applyFont="1" applyBorder="1" applyAlignment="1">
      <alignment horizontal="left"/>
      <protection/>
    </xf>
    <xf numFmtId="0" fontId="11" fillId="0" borderId="17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vertical="center" wrapText="1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0" fillId="0" borderId="19" xfId="53" applyFont="1" applyBorder="1" applyAlignment="1">
      <alignment vertical="center" wrapText="1"/>
      <protection/>
    </xf>
    <xf numFmtId="0" fontId="0" fillId="0" borderId="19" xfId="0" applyFont="1" applyBorder="1" applyAlignment="1">
      <alignment/>
    </xf>
    <xf numFmtId="0" fontId="0" fillId="6" borderId="19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vertical="center" wrapText="1"/>
      <protection/>
    </xf>
    <xf numFmtId="0" fontId="0" fillId="0" borderId="20" xfId="53" applyFont="1" applyBorder="1" applyAlignment="1">
      <alignment vertical="center" wrapText="1"/>
      <protection/>
    </xf>
    <xf numFmtId="0" fontId="0" fillId="0" borderId="20" xfId="0" applyFont="1" applyBorder="1" applyAlignment="1">
      <alignment/>
    </xf>
    <xf numFmtId="1" fontId="0" fillId="6" borderId="19" xfId="53" applyNumberFormat="1" applyFont="1" applyFill="1" applyBorder="1" applyAlignment="1">
      <alignment horizontal="center" vertical="center"/>
      <protection/>
    </xf>
    <xf numFmtId="0" fontId="67" fillId="0" borderId="0" xfId="53" applyFont="1">
      <alignment/>
      <protection/>
    </xf>
    <xf numFmtId="0" fontId="67" fillId="0" borderId="0" xfId="53" applyFont="1" applyAlignment="1">
      <alignment horizontal="left" vertical="center"/>
      <protection/>
    </xf>
    <xf numFmtId="49" fontId="68" fillId="41" borderId="10" xfId="0" applyNumberFormat="1" applyFont="1" applyFill="1" applyBorder="1" applyAlignment="1">
      <alignment horizontal="center" vertical="center"/>
    </xf>
    <xf numFmtId="1" fontId="67" fillId="36" borderId="10" xfId="0" applyNumberFormat="1" applyFont="1" applyFill="1" applyBorder="1" applyAlignment="1">
      <alignment horizontal="center" vertical="center"/>
    </xf>
    <xf numFmtId="166" fontId="67" fillId="37" borderId="14" xfId="0" applyNumberFormat="1" applyFont="1" applyFill="1" applyBorder="1" applyAlignment="1">
      <alignment horizontal="center" vertical="center"/>
    </xf>
    <xf numFmtId="0" fontId="67" fillId="42" borderId="19" xfId="42" applyNumberFormat="1" applyFont="1" applyFill="1" applyBorder="1" applyAlignment="1" applyProtection="1">
      <alignment horizontal="center" vertical="center"/>
      <protection/>
    </xf>
    <xf numFmtId="0" fontId="67" fillId="42" borderId="19" xfId="42" applyNumberFormat="1" applyFont="1" applyFill="1" applyBorder="1" applyAlignment="1" applyProtection="1">
      <alignment horizontal="center" vertical="center" wrapText="1"/>
      <protection/>
    </xf>
    <xf numFmtId="0" fontId="67" fillId="42" borderId="20" xfId="42" applyNumberFormat="1" applyFont="1" applyFill="1" applyBorder="1" applyAlignment="1" applyProtection="1">
      <alignment horizontal="center" vertical="center"/>
      <protection/>
    </xf>
    <xf numFmtId="166" fontId="0" fillId="37" borderId="19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2" fillId="0" borderId="0" xfId="42" applyAlignment="1">
      <alignment wrapText="1"/>
    </xf>
    <xf numFmtId="0" fontId="0" fillId="0" borderId="0" xfId="53" applyAlignment="1">
      <alignment horizontal="right" vertical="center" wrapText="1"/>
      <protection/>
    </xf>
    <xf numFmtId="0" fontId="0" fillId="0" borderId="0" xfId="53" applyAlignment="1">
      <alignment horizontal="left" vertical="center"/>
      <protection/>
    </xf>
    <xf numFmtId="0" fontId="0" fillId="0" borderId="0" xfId="53" applyAlignment="1">
      <alignment horizontal="center" vertical="center"/>
      <protection/>
    </xf>
    <xf numFmtId="0" fontId="0" fillId="0" borderId="21" xfId="53" applyBorder="1" applyAlignment="1">
      <alignment horizontal="left" vertical="center"/>
      <protection/>
    </xf>
    <xf numFmtId="0" fontId="0" fillId="0" borderId="22" xfId="53" applyBorder="1" applyAlignment="1">
      <alignment horizontal="left" vertical="center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Font="1" applyFill="1" applyAlignment="1">
      <alignment vertical="center"/>
      <protection/>
    </xf>
    <xf numFmtId="0" fontId="12" fillId="0" borderId="0" xfId="0" applyFont="1" applyAlignment="1">
      <alignment/>
    </xf>
    <xf numFmtId="0" fontId="11" fillId="0" borderId="0" xfId="53" applyFont="1" applyFill="1" applyBorder="1" applyAlignment="1">
      <alignment/>
      <protection/>
    </xf>
    <xf numFmtId="0" fontId="11" fillId="43" borderId="0" xfId="53" applyFont="1" applyFill="1" applyAlignment="1">
      <alignment horizontal="center" vertical="center" wrapText="1"/>
      <protection/>
    </xf>
    <xf numFmtId="0" fontId="0" fillId="43" borderId="23" xfId="53" applyFont="1" applyFill="1" applyBorder="1" applyAlignment="1">
      <alignment horizontal="center"/>
      <protection/>
    </xf>
    <xf numFmtId="0" fontId="0" fillId="43" borderId="24" xfId="53" applyFont="1" applyFill="1" applyBorder="1" applyAlignment="1">
      <alignment horizontal="center"/>
      <protection/>
    </xf>
    <xf numFmtId="0" fontId="0" fillId="43" borderId="21" xfId="53" applyFont="1" applyFill="1" applyBorder="1" applyAlignment="1">
      <alignment horizontal="center"/>
      <protection/>
    </xf>
    <xf numFmtId="0" fontId="0" fillId="43" borderId="25" xfId="53" applyFont="1" applyFill="1" applyBorder="1" applyAlignment="1">
      <alignment horizontal="center"/>
      <protection/>
    </xf>
    <xf numFmtId="0" fontId="11" fillId="43" borderId="0" xfId="53" applyFont="1" applyFill="1" applyBorder="1" applyAlignment="1">
      <alignment horizontal="center"/>
      <protection/>
    </xf>
    <xf numFmtId="0" fontId="0" fillId="44" borderId="23" xfId="53" applyFont="1" applyFill="1" applyBorder="1" applyAlignment="1">
      <alignment horizontal="center" vertical="center"/>
      <protection/>
    </xf>
    <xf numFmtId="0" fontId="0" fillId="44" borderId="24" xfId="53" applyFont="1" applyFill="1" applyBorder="1" applyAlignment="1">
      <alignment horizontal="center" vertical="center"/>
      <protection/>
    </xf>
    <xf numFmtId="0" fontId="0" fillId="44" borderId="26" xfId="53" applyFont="1" applyFill="1" applyBorder="1" applyAlignment="1">
      <alignment horizontal="center" vertical="center"/>
      <protection/>
    </xf>
    <xf numFmtId="0" fontId="0" fillId="44" borderId="25" xfId="53" applyFont="1" applyFill="1" applyBorder="1" applyAlignment="1">
      <alignment horizontal="center" vertical="center"/>
      <protection/>
    </xf>
    <xf numFmtId="0" fontId="0" fillId="44" borderId="27" xfId="53" applyFont="1" applyFill="1" applyBorder="1" applyAlignment="1">
      <alignment horizontal="center" vertical="center"/>
      <protection/>
    </xf>
    <xf numFmtId="0" fontId="0" fillId="44" borderId="28" xfId="53" applyFont="1" applyFill="1" applyBorder="1" applyAlignment="1">
      <alignment horizontal="center" vertical="center"/>
      <protection/>
    </xf>
    <xf numFmtId="0" fontId="11" fillId="43" borderId="0" xfId="53" applyFont="1" applyFill="1">
      <alignment/>
      <protection/>
    </xf>
    <xf numFmtId="0" fontId="0" fillId="43" borderId="0" xfId="53" applyFill="1">
      <alignment/>
      <protection/>
    </xf>
    <xf numFmtId="0" fontId="11" fillId="44" borderId="17" xfId="53" applyFont="1" applyFill="1" applyBorder="1" applyAlignment="1">
      <alignment horizontal="center"/>
      <protection/>
    </xf>
    <xf numFmtId="0" fontId="11" fillId="44" borderId="29" xfId="53" applyFont="1" applyFill="1" applyBorder="1" applyAlignment="1">
      <alignment horizontal="center"/>
      <protection/>
    </xf>
    <xf numFmtId="0" fontId="0" fillId="45" borderId="19" xfId="53" applyFont="1" applyFill="1" applyBorder="1" applyAlignment="1">
      <alignment horizontal="center"/>
      <protection/>
    </xf>
    <xf numFmtId="1" fontId="0" fillId="45" borderId="19" xfId="53" applyNumberFormat="1" applyFont="1" applyFill="1" applyBorder="1" applyAlignment="1">
      <alignment horizontal="center"/>
      <protection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1" fillId="44" borderId="30" xfId="53" applyFont="1" applyFill="1" applyBorder="1" applyAlignment="1">
      <alignment horizontal="center"/>
      <protection/>
    </xf>
    <xf numFmtId="0" fontId="11" fillId="44" borderId="31" xfId="53" applyFont="1" applyFill="1" applyBorder="1" applyAlignment="1">
      <alignment horizontal="center"/>
      <protection/>
    </xf>
    <xf numFmtId="0" fontId="11" fillId="43" borderId="17" xfId="53" applyFont="1" applyFill="1" applyBorder="1" applyAlignment="1">
      <alignment horizontal="center"/>
      <protection/>
    </xf>
    <xf numFmtId="0" fontId="11" fillId="43" borderId="29" xfId="53" applyFont="1" applyFill="1" applyBorder="1" applyAlignment="1">
      <alignment horizontal="center"/>
      <protection/>
    </xf>
    <xf numFmtId="0" fontId="11" fillId="43" borderId="30" xfId="53" applyFont="1" applyFill="1" applyBorder="1" applyAlignment="1">
      <alignment horizontal="center"/>
      <protection/>
    </xf>
    <xf numFmtId="0" fontId="11" fillId="43" borderId="31" xfId="53" applyFont="1" applyFill="1" applyBorder="1" applyAlignment="1">
      <alignment horizontal="center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20" xfId="42" applyNumberFormat="1" applyFont="1" applyFill="1" applyBorder="1" applyAlignment="1" applyProtection="1">
      <alignment horizontal="center" vertical="center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41" borderId="19" xfId="0" applyFill="1" applyBorder="1" applyAlignment="1">
      <alignment wrapText="1"/>
    </xf>
    <xf numFmtId="0" fontId="67" fillId="41" borderId="19" xfId="0" applyFont="1" applyFill="1" applyBorder="1" applyAlignment="1">
      <alignment wrapText="1"/>
    </xf>
    <xf numFmtId="0" fontId="0" fillId="41" borderId="19" xfId="0" applyFont="1" applyFill="1" applyBorder="1" applyAlignment="1">
      <alignment wrapText="1"/>
    </xf>
    <xf numFmtId="0" fontId="69" fillId="0" borderId="0" xfId="0" applyFont="1" applyAlignment="1">
      <alignment/>
    </xf>
    <xf numFmtId="0" fontId="70" fillId="6" borderId="19" xfId="0" applyFont="1" applyFill="1" applyBorder="1" applyAlignment="1">
      <alignment horizontal="center"/>
    </xf>
    <xf numFmtId="1" fontId="0" fillId="0" borderId="19" xfId="53" applyNumberFormat="1" applyFont="1" applyBorder="1" applyAlignment="1">
      <alignment horizontal="center" vertical="center"/>
      <protection/>
    </xf>
    <xf numFmtId="0" fontId="4" fillId="38" borderId="32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166" fontId="67" fillId="37" borderId="12" xfId="0" applyNumberFormat="1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 wrapText="1"/>
    </xf>
    <xf numFmtId="0" fontId="0" fillId="43" borderId="0" xfId="53" applyFill="1" applyAlignment="1">
      <alignment horizontal="left" vertical="center"/>
      <protection/>
    </xf>
    <xf numFmtId="0" fontId="11" fillId="0" borderId="0" xfId="53" applyFont="1" applyAlignment="1">
      <alignment horizontal="righ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1" fillId="0" borderId="0" xfId="53" applyFont="1" applyAlignment="1">
      <alignment horizontal="left"/>
      <protection/>
    </xf>
    <xf numFmtId="0" fontId="0" fillId="44" borderId="21" xfId="53" applyFont="1" applyFill="1" applyBorder="1" applyAlignment="1">
      <alignment horizontal="center" vertical="center"/>
      <protection/>
    </xf>
    <xf numFmtId="0" fontId="0" fillId="45" borderId="0" xfId="53" applyFont="1" applyFill="1" applyBorder="1" applyAlignment="1">
      <alignment horizontal="right"/>
      <protection/>
    </xf>
    <xf numFmtId="0" fontId="11" fillId="0" borderId="0" xfId="53" applyFont="1" applyBorder="1" applyAlignment="1">
      <alignment/>
      <protection/>
    </xf>
    <xf numFmtId="0" fontId="11" fillId="0" borderId="21" xfId="53" applyFont="1" applyBorder="1" applyAlignment="1">
      <alignment/>
      <protection/>
    </xf>
    <xf numFmtId="0" fontId="0" fillId="0" borderId="0" xfId="53" applyFont="1" applyFill="1" applyBorder="1" applyAlignment="1">
      <alignment horizontal="right"/>
      <protection/>
    </xf>
    <xf numFmtId="0" fontId="0" fillId="0" borderId="0" xfId="53" applyFont="1" applyFill="1" applyBorder="1" applyAlignment="1">
      <alignment horizontal="center"/>
      <protection/>
    </xf>
    <xf numFmtId="0" fontId="11" fillId="45" borderId="34" xfId="53" applyFont="1" applyFill="1" applyBorder="1" applyAlignment="1">
      <alignment horizontal="center" vertical="center"/>
      <protection/>
    </xf>
    <xf numFmtId="0" fontId="11" fillId="45" borderId="35" xfId="53" applyFont="1" applyFill="1" applyBorder="1" applyAlignment="1">
      <alignment horizontal="center" vertical="center"/>
      <protection/>
    </xf>
    <xf numFmtId="0" fontId="11" fillId="45" borderId="36" xfId="53" applyFont="1" applyFill="1" applyBorder="1" applyAlignment="1">
      <alignment horizontal="center" vertical="center"/>
      <protection/>
    </xf>
    <xf numFmtId="0" fontId="0" fillId="45" borderId="27" xfId="53" applyFont="1" applyFill="1" applyBorder="1" applyAlignment="1">
      <alignment horizontal="center"/>
      <protection/>
    </xf>
    <xf numFmtId="0" fontId="0" fillId="45" borderId="28" xfId="53" applyFont="1" applyFill="1" applyBorder="1" applyAlignment="1">
      <alignment horizontal="center"/>
      <protection/>
    </xf>
    <xf numFmtId="1" fontId="0" fillId="45" borderId="28" xfId="53" applyNumberFormat="1" applyFont="1" applyFill="1" applyBorder="1" applyAlignment="1">
      <alignment horizontal="center"/>
      <protection/>
    </xf>
    <xf numFmtId="0" fontId="0" fillId="45" borderId="37" xfId="53" applyFont="1" applyFill="1" applyBorder="1" applyAlignment="1">
      <alignment horizontal="center"/>
      <protection/>
    </xf>
    <xf numFmtId="0" fontId="0" fillId="45" borderId="38" xfId="53" applyFont="1" applyFill="1" applyBorder="1" applyAlignment="1">
      <alignment horizontal="center"/>
      <protection/>
    </xf>
    <xf numFmtId="0" fontId="0" fillId="45" borderId="39" xfId="53" applyFont="1" applyFill="1" applyBorder="1" applyAlignment="1">
      <alignment horizontal="center"/>
      <protection/>
    </xf>
    <xf numFmtId="1" fontId="0" fillId="45" borderId="38" xfId="53" applyNumberFormat="1" applyFont="1" applyFill="1" applyBorder="1" applyAlignment="1">
      <alignment horizontal="center"/>
      <protection/>
    </xf>
    <xf numFmtId="0" fontId="0" fillId="45" borderId="16" xfId="53" applyFont="1" applyFill="1" applyBorder="1" applyAlignment="1">
      <alignment horizontal="right"/>
      <protection/>
    </xf>
    <xf numFmtId="0" fontId="0" fillId="45" borderId="17" xfId="53" applyFont="1" applyFill="1" applyBorder="1" applyAlignment="1">
      <alignment horizontal="center"/>
      <protection/>
    </xf>
    <xf numFmtId="0" fontId="0" fillId="45" borderId="40" xfId="53" applyFont="1" applyFill="1" applyBorder="1" applyAlignment="1">
      <alignment horizontal="center"/>
      <protection/>
    </xf>
    <xf numFmtId="0" fontId="0" fillId="45" borderId="29" xfId="53" applyFont="1" applyFill="1" applyBorder="1" applyAlignment="1">
      <alignment horizontal="center"/>
      <protection/>
    </xf>
    <xf numFmtId="1" fontId="0" fillId="44" borderId="21" xfId="53" applyNumberFormat="1" applyFont="1" applyFill="1" applyBorder="1" applyAlignment="1">
      <alignment horizontal="center" vertical="center"/>
      <protection/>
    </xf>
    <xf numFmtId="1" fontId="11" fillId="43" borderId="30" xfId="53" applyNumberFormat="1" applyFont="1" applyFill="1" applyBorder="1" applyAlignment="1">
      <alignment horizontal="center"/>
      <protection/>
    </xf>
    <xf numFmtId="0" fontId="0" fillId="0" borderId="41" xfId="0" applyFont="1" applyBorder="1" applyAlignment="1">
      <alignment/>
    </xf>
    <xf numFmtId="0" fontId="0" fillId="44" borderId="37" xfId="53" applyFont="1" applyFill="1" applyBorder="1" applyAlignment="1">
      <alignment horizontal="center" vertical="center"/>
      <protection/>
    </xf>
    <xf numFmtId="0" fontId="0" fillId="44" borderId="0" xfId="53" applyFont="1" applyFill="1" applyBorder="1" applyAlignment="1">
      <alignment horizontal="center" vertical="center"/>
      <protection/>
    </xf>
    <xf numFmtId="0" fontId="0" fillId="44" borderId="39" xfId="53" applyFont="1" applyFill="1" applyBorder="1" applyAlignment="1">
      <alignment horizontal="center" vertical="center"/>
      <protection/>
    </xf>
    <xf numFmtId="1" fontId="0" fillId="44" borderId="0" xfId="53" applyNumberFormat="1" applyFont="1" applyFill="1" applyBorder="1" applyAlignment="1">
      <alignment horizontal="center" vertical="center"/>
      <protection/>
    </xf>
    <xf numFmtId="0" fontId="0" fillId="44" borderId="42" xfId="53" applyFont="1" applyFill="1" applyBorder="1" applyAlignment="1">
      <alignment horizontal="center" vertical="center"/>
      <protection/>
    </xf>
    <xf numFmtId="0" fontId="0" fillId="44" borderId="43" xfId="53" applyFont="1" applyFill="1" applyBorder="1" applyAlignment="1">
      <alignment horizontal="center" vertical="center"/>
      <protection/>
    </xf>
    <xf numFmtId="0" fontId="0" fillId="44" borderId="44" xfId="53" applyFont="1" applyFill="1" applyBorder="1" applyAlignment="1">
      <alignment horizontal="center" vertical="center"/>
      <protection/>
    </xf>
    <xf numFmtId="0" fontId="11" fillId="44" borderId="16" xfId="53" applyFont="1" applyFill="1" applyBorder="1" applyAlignment="1">
      <alignment horizontal="center"/>
      <protection/>
    </xf>
    <xf numFmtId="0" fontId="11" fillId="44" borderId="45" xfId="53" applyFont="1" applyFill="1" applyBorder="1" applyAlignment="1">
      <alignment horizontal="center"/>
      <protection/>
    </xf>
    <xf numFmtId="0" fontId="0" fillId="0" borderId="3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46" borderId="0" xfId="0" applyFont="1" applyFill="1" applyAlignment="1">
      <alignment/>
    </xf>
    <xf numFmtId="0" fontId="67" fillId="46" borderId="0" xfId="0" applyFont="1" applyFill="1" applyAlignment="1">
      <alignment/>
    </xf>
    <xf numFmtId="166" fontId="0" fillId="37" borderId="12" xfId="0" applyNumberFormat="1" applyFont="1" applyFill="1" applyBorder="1" applyAlignment="1">
      <alignment horizontal="center" vertical="center"/>
    </xf>
    <xf numFmtId="1" fontId="0" fillId="37" borderId="12" xfId="0" applyNumberFormat="1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166" fontId="0" fillId="37" borderId="19" xfId="0" applyNumberFormat="1" applyFill="1" applyBorder="1" applyAlignment="1">
      <alignment horizontal="center" vertical="center" wrapText="1"/>
    </xf>
    <xf numFmtId="1" fontId="0" fillId="37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167" fontId="67" fillId="36" borderId="10" xfId="0" applyNumberFormat="1" applyFont="1" applyFill="1" applyBorder="1" applyAlignment="1">
      <alignment horizontal="center" vertical="center" wrapText="1"/>
    </xf>
    <xf numFmtId="1" fontId="67" fillId="37" borderId="10" xfId="0" applyNumberFormat="1" applyFont="1" applyFill="1" applyBorder="1" applyAlignment="1">
      <alignment horizontal="center" vertical="center" wrapText="1"/>
    </xf>
    <xf numFmtId="0" fontId="67" fillId="37" borderId="10" xfId="0" applyFont="1" applyFill="1" applyBorder="1" applyAlignment="1">
      <alignment horizontal="center" vertical="center" wrapText="1"/>
    </xf>
    <xf numFmtId="166" fontId="67" fillId="37" borderId="10" xfId="0" applyNumberFormat="1" applyFont="1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0" fontId="71" fillId="0" borderId="19" xfId="0" applyFont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0" fillId="7" borderId="0" xfId="0" applyFill="1" applyAlignment="1">
      <alignment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40" xfId="53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45" xfId="53" applyFont="1" applyFill="1" applyBorder="1" applyAlignment="1">
      <alignment horizontal="center" vertical="center" wrapText="1"/>
      <protection/>
    </xf>
    <xf numFmtId="0" fontId="0" fillId="36" borderId="23" xfId="53" applyFill="1" applyBorder="1">
      <alignment/>
      <protection/>
    </xf>
    <xf numFmtId="0" fontId="0" fillId="36" borderId="48" xfId="53" applyFill="1" applyBorder="1">
      <alignment/>
      <protection/>
    </xf>
    <xf numFmtId="0" fontId="0" fillId="36" borderId="24" xfId="53" applyFill="1" applyBorder="1">
      <alignment/>
      <protection/>
    </xf>
    <xf numFmtId="0" fontId="0" fillId="36" borderId="49" xfId="53" applyFill="1" applyBorder="1">
      <alignment/>
      <protection/>
    </xf>
    <xf numFmtId="0" fontId="0" fillId="36" borderId="25" xfId="53" applyFill="1" applyBorder="1" applyAlignment="1">
      <alignment horizontal="center"/>
      <protection/>
    </xf>
    <xf numFmtId="0" fontId="0" fillId="36" borderId="27" xfId="53" applyFill="1" applyBorder="1">
      <alignment/>
      <protection/>
    </xf>
    <xf numFmtId="0" fontId="0" fillId="36" borderId="19" xfId="53" applyFill="1" applyBorder="1">
      <alignment/>
      <protection/>
    </xf>
    <xf numFmtId="0" fontId="0" fillId="36" borderId="28" xfId="53" applyFill="1" applyBorder="1">
      <alignment/>
      <protection/>
    </xf>
    <xf numFmtId="0" fontId="0" fillId="36" borderId="20" xfId="53" applyFill="1" applyBorder="1">
      <alignment/>
      <protection/>
    </xf>
    <xf numFmtId="0" fontId="0" fillId="36" borderId="47" xfId="53" applyFill="1" applyBorder="1" applyAlignment="1">
      <alignment horizontal="center"/>
      <protection/>
    </xf>
    <xf numFmtId="0" fontId="11" fillId="36" borderId="16" xfId="53" applyFont="1" applyFill="1" applyBorder="1">
      <alignment/>
      <protection/>
    </xf>
    <xf numFmtId="0" fontId="11" fillId="36" borderId="40" xfId="53" applyFont="1" applyFill="1" applyBorder="1">
      <alignment/>
      <protection/>
    </xf>
    <xf numFmtId="0" fontId="11" fillId="36" borderId="50" xfId="53" applyFont="1" applyFill="1" applyBorder="1">
      <alignment/>
      <protection/>
    </xf>
    <xf numFmtId="0" fontId="11" fillId="36" borderId="31" xfId="53" applyFont="1" applyFill="1" applyBorder="1" applyAlignment="1">
      <alignment horizontal="center"/>
      <protection/>
    </xf>
    <xf numFmtId="167" fontId="0" fillId="36" borderId="10" xfId="0" applyNumberFormat="1" applyFill="1" applyBorder="1" applyAlignment="1">
      <alignment horizontal="center" vertical="center" wrapText="1"/>
    </xf>
    <xf numFmtId="166" fontId="0" fillId="37" borderId="14" xfId="0" applyNumberFormat="1" applyFill="1" applyBorder="1" applyAlignment="1">
      <alignment horizontal="center" vertical="center"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 wrapText="1"/>
      <protection/>
    </xf>
    <xf numFmtId="0" fontId="0" fillId="42" borderId="19" xfId="42" applyNumberFormat="1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>
      <alignment horizontal="center" vertical="center" wrapText="1"/>
    </xf>
    <xf numFmtId="0" fontId="11" fillId="43" borderId="51" xfId="53" applyFont="1" applyFill="1" applyBorder="1" applyAlignment="1">
      <alignment horizontal="center"/>
      <protection/>
    </xf>
    <xf numFmtId="0" fontId="11" fillId="43" borderId="52" xfId="53" applyFont="1" applyFill="1" applyBorder="1" applyAlignment="1">
      <alignment horizontal="center"/>
      <protection/>
    </xf>
    <xf numFmtId="0" fontId="11" fillId="43" borderId="46" xfId="53" applyFont="1" applyFill="1" applyBorder="1" applyAlignment="1">
      <alignment horizontal="center"/>
      <protection/>
    </xf>
    <xf numFmtId="0" fontId="0" fillId="43" borderId="34" xfId="53" applyFont="1" applyFill="1" applyBorder="1" applyAlignment="1">
      <alignment horizontal="center"/>
      <protection/>
    </xf>
    <xf numFmtId="0" fontId="0" fillId="43" borderId="53" xfId="53" applyFont="1" applyFill="1" applyBorder="1" applyAlignment="1">
      <alignment horizontal="center"/>
      <protection/>
    </xf>
    <xf numFmtId="0" fontId="0" fillId="43" borderId="36" xfId="53" applyFont="1" applyFill="1" applyBorder="1" applyAlignment="1">
      <alignment horizontal="center"/>
      <protection/>
    </xf>
    <xf numFmtId="0" fontId="67" fillId="37" borderId="10" xfId="0" applyNumberFormat="1" applyFont="1" applyFill="1" applyBorder="1" applyAlignment="1">
      <alignment horizontal="center" vertical="center" wrapText="1"/>
    </xf>
    <xf numFmtId="166" fontId="67" fillId="37" borderId="19" xfId="0" applyNumberFormat="1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6" borderId="19" xfId="0" applyFont="1" applyFill="1" applyBorder="1" applyAlignment="1">
      <alignment horizontal="center"/>
    </xf>
    <xf numFmtId="0" fontId="0" fillId="45" borderId="54" xfId="53" applyFont="1" applyFill="1" applyBorder="1" applyAlignment="1">
      <alignment horizontal="center"/>
      <protection/>
    </xf>
    <xf numFmtId="0" fontId="0" fillId="45" borderId="55" xfId="53" applyFont="1" applyFill="1" applyBorder="1" applyAlignment="1">
      <alignment horizontal="center"/>
      <protection/>
    </xf>
    <xf numFmtId="0" fontId="0" fillId="45" borderId="43" xfId="53" applyFont="1" applyFill="1" applyBorder="1" applyAlignment="1">
      <alignment horizontal="center"/>
      <protection/>
    </xf>
    <xf numFmtId="1" fontId="0" fillId="45" borderId="55" xfId="53" applyNumberFormat="1" applyFont="1" applyFill="1" applyBorder="1" applyAlignment="1">
      <alignment horizontal="center"/>
      <protection/>
    </xf>
    <xf numFmtId="1" fontId="0" fillId="45" borderId="43" xfId="53" applyNumberFormat="1" applyFont="1" applyFill="1" applyBorder="1" applyAlignment="1">
      <alignment horizontal="center"/>
      <protection/>
    </xf>
    <xf numFmtId="0" fontId="11" fillId="45" borderId="56" xfId="53" applyFont="1" applyFill="1" applyBorder="1" applyAlignment="1">
      <alignment horizontal="center" vertical="center"/>
      <protection/>
    </xf>
    <xf numFmtId="0" fontId="0" fillId="45" borderId="57" xfId="53" applyFont="1" applyFill="1" applyBorder="1">
      <alignment/>
      <protection/>
    </xf>
    <xf numFmtId="0" fontId="0" fillId="45" borderId="47" xfId="53" applyFont="1" applyFill="1" applyBorder="1">
      <alignment/>
      <protection/>
    </xf>
    <xf numFmtId="0" fontId="0" fillId="45" borderId="58" xfId="53" applyFont="1" applyFill="1" applyBorder="1">
      <alignment/>
      <protection/>
    </xf>
    <xf numFmtId="0" fontId="0" fillId="43" borderId="52" xfId="53" applyFont="1" applyFill="1" applyBorder="1" applyAlignment="1">
      <alignment horizontal="center"/>
      <protection/>
    </xf>
    <xf numFmtId="0" fontId="0" fillId="43" borderId="46" xfId="53" applyFont="1" applyFill="1" applyBorder="1" applyAlignment="1">
      <alignment horizontal="center"/>
      <protection/>
    </xf>
    <xf numFmtId="0" fontId="0" fillId="43" borderId="51" xfId="53" applyFont="1" applyFill="1" applyBorder="1" applyAlignment="1">
      <alignment horizontal="center"/>
      <protection/>
    </xf>
    <xf numFmtId="0" fontId="11" fillId="0" borderId="59" xfId="53" applyFont="1" applyBorder="1" applyAlignment="1">
      <alignment horizontal="right"/>
      <protection/>
    </xf>
    <xf numFmtId="0" fontId="0" fillId="0" borderId="57" xfId="53" applyFont="1" applyBorder="1">
      <alignment/>
      <protection/>
    </xf>
    <xf numFmtId="0" fontId="0" fillId="0" borderId="47" xfId="53" applyFont="1" applyBorder="1">
      <alignment/>
      <protection/>
    </xf>
    <xf numFmtId="0" fontId="0" fillId="0" borderId="60" xfId="53" applyFont="1" applyBorder="1">
      <alignment/>
      <protection/>
    </xf>
    <xf numFmtId="1" fontId="0" fillId="45" borderId="40" xfId="53" applyNumberFormat="1" applyFont="1" applyFill="1" applyBorder="1" applyAlignment="1">
      <alignment horizontal="center"/>
      <protection/>
    </xf>
    <xf numFmtId="1" fontId="0" fillId="45" borderId="29" xfId="53" applyNumberFormat="1" applyFont="1" applyFill="1" applyBorder="1" applyAlignment="1">
      <alignment horizontal="center"/>
      <protection/>
    </xf>
    <xf numFmtId="0" fontId="0" fillId="43" borderId="26" xfId="53" applyFont="1" applyFill="1" applyBorder="1" applyAlignment="1">
      <alignment horizontal="center"/>
      <protection/>
    </xf>
    <xf numFmtId="1" fontId="0" fillId="43" borderId="21" xfId="53" applyNumberFormat="1" applyFont="1" applyFill="1" applyBorder="1" applyAlignment="1">
      <alignment horizontal="center"/>
      <protection/>
    </xf>
    <xf numFmtId="0" fontId="72" fillId="46" borderId="0" xfId="0" applyFont="1" applyFill="1" applyAlignment="1">
      <alignment/>
    </xf>
    <xf numFmtId="0" fontId="4" fillId="39" borderId="1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166" fontId="0" fillId="37" borderId="12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37" borderId="12" xfId="0" applyNumberFormat="1" applyFill="1" applyBorder="1" applyAlignment="1">
      <alignment horizontal="center" vertical="center" wrapText="1"/>
    </xf>
    <xf numFmtId="0" fontId="73" fillId="47" borderId="0" xfId="0" applyFont="1" applyFill="1" applyAlignment="1">
      <alignment horizontal="left" vertical="center"/>
    </xf>
    <xf numFmtId="0" fontId="74" fillId="46" borderId="0" xfId="0" applyFont="1" applyFill="1" applyAlignment="1">
      <alignment/>
    </xf>
    <xf numFmtId="0" fontId="75" fillId="0" borderId="20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41" borderId="63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40" borderId="64" xfId="0" applyFont="1" applyFill="1" applyBorder="1" applyAlignment="1">
      <alignment horizontal="center" vertical="center" wrapText="1"/>
    </xf>
    <xf numFmtId="0" fontId="4" fillId="40" borderId="65" xfId="0" applyFont="1" applyFill="1" applyBorder="1" applyAlignment="1">
      <alignment horizontal="center" vertical="center" wrapText="1"/>
    </xf>
    <xf numFmtId="0" fontId="4" fillId="41" borderId="19" xfId="0" applyFont="1" applyFill="1" applyBorder="1" applyAlignment="1">
      <alignment horizontal="center" vertical="center" wrapText="1"/>
    </xf>
    <xf numFmtId="0" fontId="4" fillId="41" borderId="63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66" xfId="0" applyFont="1" applyFill="1" applyBorder="1" applyAlignment="1">
      <alignment horizontal="center" vertical="center" wrapText="1"/>
    </xf>
    <xf numFmtId="0" fontId="4" fillId="39" borderId="65" xfId="0" applyFont="1" applyFill="1" applyBorder="1" applyAlignment="1">
      <alignment horizontal="center" vertical="center" wrapText="1"/>
    </xf>
    <xf numFmtId="0" fontId="0" fillId="36" borderId="27" xfId="53" applyFill="1" applyBorder="1" applyAlignment="1">
      <alignment horizontal="center"/>
      <protection/>
    </xf>
    <xf numFmtId="0" fontId="0" fillId="36" borderId="19" xfId="53" applyFill="1" applyBorder="1" applyAlignment="1">
      <alignment horizontal="center"/>
      <protection/>
    </xf>
    <xf numFmtId="0" fontId="0" fillId="36" borderId="28" xfId="53" applyFill="1" applyBorder="1" applyAlignment="1">
      <alignment horizontal="center"/>
      <protection/>
    </xf>
    <xf numFmtId="0" fontId="11" fillId="36" borderId="16" xfId="53" applyFont="1" applyFill="1" applyBorder="1" applyAlignment="1">
      <alignment horizontal="center"/>
      <protection/>
    </xf>
    <xf numFmtId="0" fontId="11" fillId="36" borderId="30" xfId="53" applyFont="1" applyFill="1" applyBorder="1" applyAlignment="1">
      <alignment horizontal="center"/>
      <protection/>
    </xf>
    <xf numFmtId="0" fontId="11" fillId="36" borderId="50" xfId="53" applyFont="1" applyFill="1" applyBorder="1" applyAlignment="1">
      <alignment horizontal="center"/>
      <protection/>
    </xf>
    <xf numFmtId="1" fontId="11" fillId="36" borderId="16" xfId="53" applyNumberFormat="1" applyFont="1" applyFill="1" applyBorder="1" applyAlignment="1">
      <alignment horizontal="center"/>
      <protection/>
    </xf>
    <xf numFmtId="1" fontId="0" fillId="36" borderId="27" xfId="53" applyNumberFormat="1" applyFill="1" applyBorder="1" applyAlignment="1">
      <alignment horizontal="center"/>
      <protection/>
    </xf>
    <xf numFmtId="1" fontId="0" fillId="36" borderId="19" xfId="53" applyNumberFormat="1" applyFill="1" applyBorder="1" applyAlignment="1">
      <alignment horizontal="center"/>
      <protection/>
    </xf>
    <xf numFmtId="1" fontId="0" fillId="36" borderId="28" xfId="53" applyNumberFormat="1" applyFill="1" applyBorder="1" applyAlignment="1">
      <alignment horizontal="center"/>
      <protection/>
    </xf>
    <xf numFmtId="0" fontId="4" fillId="0" borderId="34" xfId="53" applyFont="1" applyBorder="1" applyAlignment="1">
      <alignment horizontal="center" vertical="center" wrapText="1"/>
      <protection/>
    </xf>
    <xf numFmtId="0" fontId="4" fillId="0" borderId="35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67" xfId="53" applyFont="1" applyBorder="1" applyAlignment="1">
      <alignment horizontal="center" vertical="center" wrapText="1"/>
      <protection/>
    </xf>
    <xf numFmtId="0" fontId="4" fillId="0" borderId="68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0" fillId="36" borderId="23" xfId="53" applyFill="1" applyBorder="1" applyAlignment="1">
      <alignment horizontal="center"/>
      <protection/>
    </xf>
    <xf numFmtId="0" fontId="0" fillId="36" borderId="48" xfId="53" applyFill="1" applyBorder="1" applyAlignment="1">
      <alignment horizontal="center"/>
      <protection/>
    </xf>
    <xf numFmtId="0" fontId="0" fillId="36" borderId="24" xfId="53" applyFill="1" applyBorder="1" applyAlignment="1">
      <alignment horizontal="center"/>
      <protection/>
    </xf>
    <xf numFmtId="1" fontId="0" fillId="36" borderId="23" xfId="53" applyNumberFormat="1" applyFill="1" applyBorder="1" applyAlignment="1">
      <alignment horizontal="center"/>
      <protection/>
    </xf>
    <xf numFmtId="1" fontId="0" fillId="36" borderId="48" xfId="53" applyNumberFormat="1" applyFill="1" applyBorder="1" applyAlignment="1">
      <alignment horizontal="center"/>
      <protection/>
    </xf>
    <xf numFmtId="1" fontId="0" fillId="36" borderId="24" xfId="53" applyNumberFormat="1" applyFill="1" applyBorder="1" applyAlignment="1">
      <alignment horizontal="center"/>
      <protection/>
    </xf>
    <xf numFmtId="0" fontId="11" fillId="0" borderId="0" xfId="53" applyFont="1" applyBorder="1" applyAlignment="1">
      <alignment horizontal="left"/>
      <protection/>
    </xf>
    <xf numFmtId="0" fontId="4" fillId="0" borderId="70" xfId="53" applyFont="1" applyBorder="1" applyAlignment="1">
      <alignment horizontal="center" vertical="center" wrapText="1"/>
      <protection/>
    </xf>
    <xf numFmtId="0" fontId="4" fillId="0" borderId="58" xfId="53" applyFont="1" applyBorder="1" applyAlignment="1">
      <alignment horizontal="center" vertical="center" wrapText="1"/>
      <protection/>
    </xf>
    <xf numFmtId="0" fontId="11" fillId="0" borderId="0" xfId="53" applyFont="1" applyAlignment="1">
      <alignment horizontal="right" vertical="center" wrapText="1"/>
      <protection/>
    </xf>
    <xf numFmtId="0" fontId="11" fillId="0" borderId="0" xfId="53" applyFont="1" applyAlignment="1">
      <alignment horizontal="center" vertical="center" wrapText="1"/>
      <protection/>
    </xf>
    <xf numFmtId="0" fontId="11" fillId="43" borderId="0" xfId="53" applyFont="1" applyFill="1" applyAlignment="1">
      <alignment horizontal="center" vertical="center" wrapText="1"/>
      <protection/>
    </xf>
    <xf numFmtId="0" fontId="11" fillId="43" borderId="0" xfId="53" applyFont="1" applyFill="1" applyAlignment="1">
      <alignment horizontal="left" vertical="center" wrapText="1"/>
      <protection/>
    </xf>
    <xf numFmtId="0" fontId="11" fillId="0" borderId="0" xfId="53" applyFont="1" applyAlignment="1">
      <alignment horizontal="left" vertical="center" wrapText="1"/>
      <protection/>
    </xf>
    <xf numFmtId="0" fontId="11" fillId="0" borderId="0" xfId="53" applyFont="1" applyAlignment="1">
      <alignment horizontal="left"/>
      <protection/>
    </xf>
    <xf numFmtId="0" fontId="11" fillId="0" borderId="71" xfId="53" applyFont="1" applyBorder="1" applyAlignment="1">
      <alignment horizontal="center" vertical="center" wrapText="1"/>
      <protection/>
    </xf>
    <xf numFmtId="0" fontId="11" fillId="0" borderId="72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/>
      <protection/>
    </xf>
    <xf numFmtId="0" fontId="11" fillId="0" borderId="73" xfId="53" applyFont="1" applyBorder="1" applyAlignment="1">
      <alignment horizontal="center" vertical="center"/>
      <protection/>
    </xf>
    <xf numFmtId="0" fontId="11" fillId="0" borderId="40" xfId="53" applyFont="1" applyBorder="1" applyAlignment="1">
      <alignment horizontal="center" vertical="center"/>
      <protection/>
    </xf>
    <xf numFmtId="0" fontId="11" fillId="0" borderId="45" xfId="53" applyFont="1" applyBorder="1" applyAlignment="1">
      <alignment horizontal="center" vertical="center"/>
      <protection/>
    </xf>
    <xf numFmtId="0" fontId="11" fillId="0" borderId="29" xfId="53" applyFont="1" applyBorder="1" applyAlignment="1">
      <alignment horizontal="center" vertical="center"/>
      <protection/>
    </xf>
    <xf numFmtId="0" fontId="11" fillId="0" borderId="34" xfId="53" applyFont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30" xfId="53" applyFont="1" applyFill="1" applyBorder="1" applyAlignment="1">
      <alignment horizontal="center" vertical="center"/>
      <protection/>
    </xf>
    <xf numFmtId="0" fontId="11" fillId="0" borderId="50" xfId="53" applyFont="1" applyFill="1" applyBorder="1" applyAlignment="1">
      <alignment horizontal="center" vertical="center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75" xfId="53" applyFont="1" applyBorder="1" applyAlignment="1">
      <alignment horizontal="center" vertical="center" wrapText="1"/>
      <protection/>
    </xf>
    <xf numFmtId="0" fontId="0" fillId="43" borderId="0" xfId="53" applyFill="1" applyAlignment="1">
      <alignment horizontal="left" vertical="center"/>
      <protection/>
    </xf>
    <xf numFmtId="0" fontId="11" fillId="0" borderId="57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76" xfId="53" applyFont="1" applyFill="1" applyBorder="1" applyAlignment="1">
      <alignment horizontal="center" vertical="center" wrapText="1"/>
      <protection/>
    </xf>
    <xf numFmtId="0" fontId="11" fillId="0" borderId="77" xfId="53" applyFont="1" applyFill="1" applyBorder="1" applyAlignment="1">
      <alignment horizontal="center" vertical="center" wrapText="1"/>
      <protection/>
    </xf>
    <xf numFmtId="0" fontId="11" fillId="0" borderId="78" xfId="53" applyFont="1" applyFill="1" applyBorder="1" applyAlignment="1">
      <alignment horizontal="center" vertical="center" wrapText="1"/>
      <protection/>
    </xf>
    <xf numFmtId="0" fontId="0" fillId="43" borderId="0" xfId="53" applyFont="1" applyFill="1" applyAlignment="1">
      <alignment horizontal="left" vertical="center"/>
      <protection/>
    </xf>
    <xf numFmtId="0" fontId="4" fillId="0" borderId="53" xfId="53" applyFont="1" applyBorder="1" applyAlignment="1">
      <alignment horizontal="center" vertical="center" wrapText="1"/>
      <protection/>
    </xf>
    <xf numFmtId="0" fontId="4" fillId="0" borderId="79" xfId="53" applyFont="1" applyBorder="1" applyAlignment="1">
      <alignment horizontal="center" vertical="center" wrapText="1"/>
      <protection/>
    </xf>
    <xf numFmtId="0" fontId="4" fillId="0" borderId="57" xfId="53" applyFont="1" applyBorder="1" applyAlignment="1">
      <alignment horizontal="center" vertical="center" wrapText="1"/>
      <protection/>
    </xf>
    <xf numFmtId="0" fontId="4" fillId="0" borderId="60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53" applyFont="1" applyFill="1" applyBorder="1" applyAlignment="1">
      <alignment horizontal="center" vertical="center"/>
      <protection/>
    </xf>
    <xf numFmtId="0" fontId="11" fillId="45" borderId="57" xfId="53" applyFont="1" applyFill="1" applyBorder="1" applyAlignment="1">
      <alignment horizontal="center" vertical="center" wrapText="1"/>
      <protection/>
    </xf>
    <xf numFmtId="0" fontId="11" fillId="45" borderId="60" xfId="53" applyFont="1" applyFill="1" applyBorder="1" applyAlignment="1">
      <alignment horizontal="center" vertical="center" wrapText="1"/>
      <protection/>
    </xf>
    <xf numFmtId="0" fontId="11" fillId="45" borderId="80" xfId="53" applyFont="1" applyFill="1" applyBorder="1" applyAlignment="1">
      <alignment horizontal="center" vertical="center"/>
      <protection/>
    </xf>
    <xf numFmtId="0" fontId="11" fillId="45" borderId="38" xfId="53" applyFont="1" applyFill="1" applyBorder="1" applyAlignment="1">
      <alignment horizontal="center" vertical="center"/>
      <protection/>
    </xf>
    <xf numFmtId="0" fontId="11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E2:E18" totalsRowShown="0">
  <autoFilter ref="E2:E18"/>
  <tableColumns count="1">
    <tableColumn id="1" name="Городокр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F2:F20" totalsRowShown="0">
  <autoFilter ref="F2:F20"/>
  <tableColumns count="1">
    <tableColumn id="1" name="Муниципокр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turotdel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rgb="FFFFFF00"/>
  </sheetPr>
  <dimension ref="A1:B25"/>
  <sheetViews>
    <sheetView tabSelected="1" zoomScalePageLayoutView="0" workbookViewId="0" topLeftCell="A1">
      <selection activeCell="A11" sqref="A11:IV11"/>
    </sheetView>
  </sheetViews>
  <sheetFormatPr defaultColWidth="9.00390625" defaultRowHeight="12.75"/>
  <cols>
    <col min="1" max="1" width="3.875" style="0" customWidth="1"/>
    <col min="2" max="2" width="109.875" style="0" customWidth="1"/>
  </cols>
  <sheetData>
    <row r="1" spans="1:2" ht="26.25" customHeight="1">
      <c r="A1" s="254" t="s">
        <v>114</v>
      </c>
      <c r="B1" s="255"/>
    </row>
    <row r="2" spans="1:2" ht="15">
      <c r="A2" s="94">
        <v>1</v>
      </c>
      <c r="B2" s="95" t="s">
        <v>130</v>
      </c>
    </row>
    <row r="3" spans="1:2" ht="29.25">
      <c r="A3" s="94">
        <v>2</v>
      </c>
      <c r="B3" s="96" t="s">
        <v>131</v>
      </c>
    </row>
    <row r="4" spans="1:2" ht="29.25">
      <c r="A4" s="94">
        <v>3</v>
      </c>
      <c r="B4" s="96" t="s">
        <v>129</v>
      </c>
    </row>
    <row r="5" spans="1:2" ht="43.5">
      <c r="A5" s="94">
        <v>4</v>
      </c>
      <c r="B5" s="96" t="s">
        <v>128</v>
      </c>
    </row>
    <row r="6" spans="1:2" ht="28.5">
      <c r="A6" s="94">
        <v>5</v>
      </c>
      <c r="B6" s="96" t="s">
        <v>127</v>
      </c>
    </row>
    <row r="7" spans="1:2" ht="15" customHeight="1">
      <c r="A7" s="94">
        <v>6</v>
      </c>
      <c r="B7" s="97" t="s">
        <v>175</v>
      </c>
    </row>
    <row r="8" spans="1:2" ht="15" customHeight="1">
      <c r="A8" s="94">
        <v>7</v>
      </c>
      <c r="B8" s="175" t="s">
        <v>174</v>
      </c>
    </row>
    <row r="9" spans="1:2" ht="15" customHeight="1">
      <c r="A9" s="94">
        <v>8</v>
      </c>
      <c r="B9" s="95" t="s">
        <v>140</v>
      </c>
    </row>
    <row r="10" spans="1:2" ht="15" customHeight="1">
      <c r="A10" s="94">
        <v>9</v>
      </c>
      <c r="B10" s="93" t="s">
        <v>173</v>
      </c>
    </row>
    <row r="11" spans="1:2" ht="43.5">
      <c r="A11" s="176">
        <v>10</v>
      </c>
      <c r="B11" s="96" t="s">
        <v>170</v>
      </c>
    </row>
    <row r="12" spans="1:2" ht="14.25">
      <c r="A12" s="73"/>
      <c r="B12" s="73"/>
    </row>
    <row r="13" ht="14.25">
      <c r="A13" s="73"/>
    </row>
    <row r="14" spans="1:2" ht="14.25">
      <c r="A14" s="73"/>
      <c r="B14" s="73"/>
    </row>
    <row r="15" spans="1:2" ht="14.25">
      <c r="A15" s="73"/>
      <c r="B15" s="73"/>
    </row>
    <row r="16" spans="1:2" ht="14.25">
      <c r="A16" s="73"/>
      <c r="B16" s="73"/>
    </row>
    <row r="17" spans="1:2" ht="14.25">
      <c r="A17" s="73"/>
      <c r="B17" s="73"/>
    </row>
    <row r="18" spans="1:2" ht="14.25">
      <c r="A18" s="73"/>
      <c r="B18" s="73"/>
    </row>
    <row r="19" spans="1:2" ht="14.25">
      <c r="A19" s="73"/>
      <c r="B19" s="73"/>
    </row>
    <row r="20" spans="1:2" ht="14.25">
      <c r="A20" s="73"/>
      <c r="B20" s="73"/>
    </row>
    <row r="21" spans="1:2" ht="14.25">
      <c r="A21" s="73"/>
      <c r="B21" s="73"/>
    </row>
    <row r="22" spans="1:2" ht="14.25">
      <c r="A22" s="73"/>
      <c r="B22" s="73"/>
    </row>
    <row r="23" spans="1:2" ht="14.25">
      <c r="A23" s="73"/>
      <c r="B23" s="73"/>
    </row>
    <row r="24" spans="1:2" ht="14.25">
      <c r="A24" s="73"/>
      <c r="B24" s="73"/>
    </row>
    <row r="25" spans="1:2" ht="14.25">
      <c r="A25" s="73"/>
      <c r="B25" s="7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9" tint="-0.24997000396251678"/>
  </sheetPr>
  <dimension ref="A1:C9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5.25390625" style="0" customWidth="1"/>
    <col min="2" max="2" width="98.625" style="0" customWidth="1"/>
  </cols>
  <sheetData>
    <row r="1" ht="33.75" customHeight="1">
      <c r="B1" s="252" t="s">
        <v>210</v>
      </c>
    </row>
    <row r="2" spans="1:2" ht="12.75">
      <c r="A2" t="s">
        <v>115</v>
      </c>
      <c r="B2" s="64" t="s">
        <v>171</v>
      </c>
    </row>
    <row r="3" spans="1:2" ht="12.75">
      <c r="A3" t="s">
        <v>117</v>
      </c>
      <c r="B3" s="55" t="s">
        <v>195</v>
      </c>
    </row>
    <row r="4" spans="1:3" ht="12.75">
      <c r="A4" t="s">
        <v>118</v>
      </c>
      <c r="B4" s="56" t="s">
        <v>194</v>
      </c>
      <c r="C4" s="40"/>
    </row>
    <row r="6" spans="1:2" ht="12.75">
      <c r="A6" t="s">
        <v>123</v>
      </c>
      <c r="B6" s="64" t="s">
        <v>119</v>
      </c>
    </row>
    <row r="7" spans="1:2" ht="12.75">
      <c r="A7" t="s">
        <v>124</v>
      </c>
      <c r="B7" s="64" t="s">
        <v>172</v>
      </c>
    </row>
    <row r="9" spans="1:2" ht="12.75">
      <c r="A9" t="s">
        <v>126</v>
      </c>
      <c r="B9" s="65" t="s">
        <v>125</v>
      </c>
    </row>
  </sheetData>
  <sheetProtection/>
  <hyperlinks>
    <hyperlink ref="B9" r:id="rId1" display="kuzturotdel@yandex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FF00"/>
  </sheetPr>
  <dimension ref="A1:Q306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18.375" style="0" customWidth="1"/>
    <col min="4" max="4" width="23.125" style="0" customWidth="1"/>
    <col min="5" max="5" width="20.00390625" style="0" customWidth="1"/>
    <col min="6" max="6" width="13.25390625" style="0" customWidth="1"/>
    <col min="7" max="8" width="14.625" style="0" customWidth="1"/>
    <col min="9" max="9" width="10.875" style="0" customWidth="1"/>
    <col min="10" max="10" width="12.75390625" style="0" customWidth="1"/>
    <col min="11" max="11" width="31.25390625" style="0" customWidth="1"/>
    <col min="12" max="12" width="22.125" style="0" customWidth="1"/>
    <col min="13" max="13" width="9.375" style="0" customWidth="1"/>
    <col min="14" max="14" width="10.75390625" style="0" customWidth="1"/>
    <col min="15" max="15" width="14.125" style="0" customWidth="1"/>
    <col min="16" max="16" width="11.375" style="0" customWidth="1"/>
    <col min="17" max="17" width="9.625" style="0" customWidth="1"/>
  </cols>
  <sheetData>
    <row r="1" spans="1:17" ht="17.25" customHeight="1">
      <c r="A1" s="256" t="str">
        <f>'Заполнить !'!B2</f>
        <v>МКК ГАУДО "КУЗБАССКИЙ ЦЕНТР ДЕТСКОГО И ЮНОШЕСКОГО ТУРИЗМА И ЭКСКУРСИЙ" 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17" ht="23.25" customHeight="1">
      <c r="A2" s="257" t="s">
        <v>204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ht="16.5" customHeight="1"/>
    <row r="4" spans="1:17" ht="26.25" customHeight="1">
      <c r="A4" s="258" t="s">
        <v>0</v>
      </c>
      <c r="B4" s="263" t="s">
        <v>206</v>
      </c>
      <c r="C4" s="261" t="s">
        <v>10</v>
      </c>
      <c r="D4" s="261"/>
      <c r="E4" s="261"/>
      <c r="F4" s="261"/>
      <c r="G4" s="261"/>
      <c r="H4" s="262"/>
      <c r="I4" s="265" t="s">
        <v>2</v>
      </c>
      <c r="J4" s="265"/>
      <c r="K4" s="265"/>
      <c r="L4" s="265"/>
      <c r="M4" s="265"/>
      <c r="N4" s="265"/>
      <c r="O4" s="265"/>
      <c r="P4" s="266" t="s">
        <v>20</v>
      </c>
      <c r="Q4" s="267"/>
    </row>
    <row r="5" spans="1:17" ht="64.5" customHeight="1">
      <c r="A5" s="259"/>
      <c r="B5" s="264"/>
      <c r="C5" s="19" t="s">
        <v>1</v>
      </c>
      <c r="D5" s="19" t="s">
        <v>80</v>
      </c>
      <c r="E5" s="20" t="s">
        <v>180</v>
      </c>
      <c r="F5" s="20" t="s">
        <v>205</v>
      </c>
      <c r="G5" s="20" t="s">
        <v>134</v>
      </c>
      <c r="H5" s="113" t="s">
        <v>193</v>
      </c>
      <c r="I5" s="116" t="s">
        <v>11</v>
      </c>
      <c r="J5" s="116" t="s">
        <v>18</v>
      </c>
      <c r="K5" s="116" t="s">
        <v>52</v>
      </c>
      <c r="L5" s="247" t="s">
        <v>207</v>
      </c>
      <c r="M5" s="116" t="s">
        <v>3</v>
      </c>
      <c r="N5" s="116" t="s">
        <v>4</v>
      </c>
      <c r="O5" s="116" t="s">
        <v>136</v>
      </c>
      <c r="P5" s="114" t="s">
        <v>21</v>
      </c>
      <c r="Q5" s="22" t="s">
        <v>39</v>
      </c>
    </row>
    <row r="6" spans="1:17" ht="27.75" customHeight="1">
      <c r="A6" s="2">
        <f aca="true" t="shared" si="0" ref="A6:A69">ROW($A6:$IV6)-5</f>
        <v>1</v>
      </c>
      <c r="B6" s="23" t="s">
        <v>211</v>
      </c>
      <c r="C6" s="162"/>
      <c r="D6" s="162"/>
      <c r="E6" s="162"/>
      <c r="F6" s="10"/>
      <c r="G6" s="11"/>
      <c r="H6" s="11"/>
      <c r="I6" s="160"/>
      <c r="J6" s="161"/>
      <c r="K6" s="161"/>
      <c r="L6" s="160"/>
      <c r="M6" s="159"/>
      <c r="N6" s="159"/>
      <c r="O6" s="159"/>
      <c r="P6" s="212"/>
      <c r="Q6" s="213"/>
    </row>
    <row r="7" spans="1:17" ht="39.75" customHeight="1">
      <c r="A7" s="2">
        <f t="shared" si="0"/>
        <v>2</v>
      </c>
      <c r="B7" s="23"/>
      <c r="C7" s="162"/>
      <c r="D7" s="162"/>
      <c r="E7" s="16"/>
      <c r="F7" s="10"/>
      <c r="G7" s="11"/>
      <c r="H7" s="11"/>
      <c r="I7" s="160"/>
      <c r="J7" s="161"/>
      <c r="K7" s="161"/>
      <c r="L7" s="160"/>
      <c r="M7" s="159"/>
      <c r="N7" s="159"/>
      <c r="O7" s="159"/>
      <c r="P7" s="212"/>
      <c r="Q7" s="106"/>
    </row>
    <row r="8" spans="1:17" ht="27.75" customHeight="1">
      <c r="A8" s="2">
        <f t="shared" si="0"/>
        <v>3</v>
      </c>
      <c r="B8" s="23"/>
      <c r="C8" s="162"/>
      <c r="D8" s="162"/>
      <c r="E8" s="16"/>
      <c r="F8" s="10"/>
      <c r="G8" s="11"/>
      <c r="H8" s="11"/>
      <c r="I8" s="160"/>
      <c r="J8" s="161"/>
      <c r="K8" s="161"/>
      <c r="L8" s="160"/>
      <c r="M8" s="14"/>
      <c r="N8" s="14"/>
      <c r="O8" s="159"/>
      <c r="P8" s="179"/>
      <c r="Q8" s="180"/>
    </row>
    <row r="9" spans="1:17" ht="27.75" customHeight="1">
      <c r="A9" s="2">
        <f t="shared" si="0"/>
        <v>4</v>
      </c>
      <c r="B9" s="23"/>
      <c r="C9" s="162"/>
      <c r="D9" s="162"/>
      <c r="E9" s="16"/>
      <c r="F9" s="10"/>
      <c r="G9" s="11"/>
      <c r="H9" s="11"/>
      <c r="I9" s="160"/>
      <c r="J9" s="161"/>
      <c r="K9" s="17"/>
      <c r="L9" s="18"/>
      <c r="M9" s="14"/>
      <c r="N9" s="14"/>
      <c r="O9" s="159"/>
      <c r="P9" s="179"/>
      <c r="Q9" s="180"/>
    </row>
    <row r="10" spans="1:17" ht="27.75" customHeight="1">
      <c r="A10" s="2">
        <f t="shared" si="0"/>
        <v>5</v>
      </c>
      <c r="B10" s="23"/>
      <c r="C10" s="162"/>
      <c r="D10" s="162"/>
      <c r="E10" s="16"/>
      <c r="F10" s="10"/>
      <c r="G10" s="11"/>
      <c r="H10" s="11"/>
      <c r="I10" s="160"/>
      <c r="J10" s="161"/>
      <c r="K10" s="161"/>
      <c r="L10" s="160"/>
      <c r="M10" s="14"/>
      <c r="N10" s="14"/>
      <c r="O10" s="159"/>
      <c r="P10" s="179"/>
      <c r="Q10" s="180"/>
    </row>
    <row r="11" spans="1:17" ht="27.75" customHeight="1">
      <c r="A11" s="2">
        <f t="shared" si="0"/>
        <v>6</v>
      </c>
      <c r="B11" s="23"/>
      <c r="C11" s="162"/>
      <c r="D11" s="162"/>
      <c r="E11" s="16"/>
      <c r="F11" s="208"/>
      <c r="G11" s="11"/>
      <c r="H11" s="11"/>
      <c r="I11" s="160"/>
      <c r="J11" s="161"/>
      <c r="K11" s="17"/>
      <c r="L11" s="18"/>
      <c r="M11" s="14"/>
      <c r="N11" s="14"/>
      <c r="O11" s="159"/>
      <c r="P11" s="179"/>
      <c r="Q11" s="180"/>
    </row>
    <row r="12" spans="1:17" ht="27.75" customHeight="1">
      <c r="A12" s="2">
        <f t="shared" si="0"/>
        <v>7</v>
      </c>
      <c r="B12" s="23"/>
      <c r="C12" s="162"/>
      <c r="D12" s="162"/>
      <c r="E12" s="16"/>
      <c r="F12" s="10"/>
      <c r="G12" s="11"/>
      <c r="H12" s="11"/>
      <c r="I12" s="160"/>
      <c r="J12" s="161"/>
      <c r="K12" s="17"/>
      <c r="L12" s="18"/>
      <c r="M12" s="14"/>
      <c r="N12" s="14"/>
      <c r="O12" s="159"/>
      <c r="P12" s="179"/>
      <c r="Q12" s="210"/>
    </row>
    <row r="13" spans="1:17" ht="27.75" customHeight="1">
      <c r="A13" s="2">
        <f t="shared" si="0"/>
        <v>8</v>
      </c>
      <c r="B13" s="23"/>
      <c r="C13" s="162"/>
      <c r="D13" s="214"/>
      <c r="E13" s="16"/>
      <c r="F13" s="10"/>
      <c r="G13" s="11"/>
      <c r="H13" s="11"/>
      <c r="I13" s="160"/>
      <c r="J13" s="161"/>
      <c r="K13" s="17"/>
      <c r="L13" s="18"/>
      <c r="M13" s="14"/>
      <c r="N13" s="14"/>
      <c r="O13" s="159"/>
      <c r="P13" s="212"/>
      <c r="Q13" s="106"/>
    </row>
    <row r="14" spans="1:17" ht="27.75" customHeight="1">
      <c r="A14" s="2">
        <f t="shared" si="0"/>
        <v>9</v>
      </c>
      <c r="B14" s="23"/>
      <c r="C14" s="162"/>
      <c r="D14" s="162"/>
      <c r="E14" s="16"/>
      <c r="F14" s="10"/>
      <c r="G14" s="11"/>
      <c r="H14" s="11"/>
      <c r="I14" s="160"/>
      <c r="J14" s="161"/>
      <c r="K14" s="17"/>
      <c r="L14" s="18"/>
      <c r="M14" s="14"/>
      <c r="N14" s="14"/>
      <c r="O14" s="159"/>
      <c r="P14" s="212"/>
      <c r="Q14" s="106"/>
    </row>
    <row r="15" spans="1:17" ht="27.75" customHeight="1">
      <c r="A15" s="2">
        <f t="shared" si="0"/>
        <v>10</v>
      </c>
      <c r="B15" s="23"/>
      <c r="C15" s="162"/>
      <c r="D15" s="162"/>
      <c r="E15" s="16"/>
      <c r="F15" s="10"/>
      <c r="G15" s="11"/>
      <c r="H15" s="11"/>
      <c r="I15" s="160"/>
      <c r="J15" s="161"/>
      <c r="K15" s="17"/>
      <c r="L15" s="18"/>
      <c r="M15" s="14"/>
      <c r="N15" s="14"/>
      <c r="O15" s="159"/>
      <c r="P15" s="163"/>
      <c r="Q15" s="164"/>
    </row>
    <row r="16" spans="1:17" ht="27.75" customHeight="1">
      <c r="A16" s="2">
        <f t="shared" si="0"/>
        <v>11</v>
      </c>
      <c r="B16" s="23"/>
      <c r="C16" s="162"/>
      <c r="D16" s="162"/>
      <c r="E16" s="16"/>
      <c r="F16" s="10"/>
      <c r="G16" s="11"/>
      <c r="H16" s="11"/>
      <c r="I16" s="160"/>
      <c r="J16" s="161"/>
      <c r="K16" s="17"/>
      <c r="L16" s="18"/>
      <c r="M16" s="14"/>
      <c r="N16" s="14"/>
      <c r="O16" s="159"/>
      <c r="P16" s="163"/>
      <c r="Q16" s="164"/>
    </row>
    <row r="17" spans="1:17" ht="27.75" customHeight="1">
      <c r="A17" s="2">
        <f t="shared" si="0"/>
        <v>12</v>
      </c>
      <c r="B17" s="23"/>
      <c r="C17" s="162"/>
      <c r="D17" s="162"/>
      <c r="E17" s="16"/>
      <c r="F17" s="10"/>
      <c r="G17" s="11"/>
      <c r="H17" s="11"/>
      <c r="I17" s="160"/>
      <c r="J17" s="161"/>
      <c r="K17" s="17"/>
      <c r="L17" s="18"/>
      <c r="M17" s="14"/>
      <c r="N17" s="14"/>
      <c r="O17" s="159"/>
      <c r="P17" s="163"/>
      <c r="Q17" s="164"/>
    </row>
    <row r="18" spans="1:17" ht="27.75" customHeight="1">
      <c r="A18" s="2">
        <f t="shared" si="0"/>
        <v>13</v>
      </c>
      <c r="B18" s="23"/>
      <c r="C18" s="162"/>
      <c r="D18" s="162"/>
      <c r="E18" s="16"/>
      <c r="F18" s="10"/>
      <c r="G18" s="11"/>
      <c r="H18" s="11"/>
      <c r="I18" s="160"/>
      <c r="J18" s="161"/>
      <c r="K18" s="17"/>
      <c r="L18" s="18"/>
      <c r="M18" s="14"/>
      <c r="N18" s="14"/>
      <c r="O18" s="159"/>
      <c r="P18" s="61"/>
      <c r="Q18" s="60"/>
    </row>
    <row r="19" spans="1:17" ht="27.75" customHeight="1">
      <c r="A19" s="2">
        <f t="shared" si="0"/>
        <v>14</v>
      </c>
      <c r="B19" s="23"/>
      <c r="C19" s="162"/>
      <c r="D19" s="162"/>
      <c r="E19" s="16"/>
      <c r="F19" s="10"/>
      <c r="G19" s="11"/>
      <c r="H19" s="11"/>
      <c r="I19" s="160"/>
      <c r="J19" s="161"/>
      <c r="K19" s="17"/>
      <c r="L19" s="18"/>
      <c r="M19" s="14"/>
      <c r="N19" s="14"/>
      <c r="O19" s="159"/>
      <c r="P19" s="61"/>
      <c r="Q19" s="164"/>
    </row>
    <row r="20" spans="1:17" ht="27.75" customHeight="1">
      <c r="A20" s="2">
        <f t="shared" si="0"/>
        <v>15</v>
      </c>
      <c r="B20" s="23"/>
      <c r="C20" s="162"/>
      <c r="D20" s="162"/>
      <c r="E20" s="16"/>
      <c r="F20" s="10"/>
      <c r="G20" s="11"/>
      <c r="H20" s="11"/>
      <c r="I20" s="160"/>
      <c r="J20" s="161"/>
      <c r="K20" s="17"/>
      <c r="L20" s="18"/>
      <c r="M20" s="14"/>
      <c r="N20" s="14"/>
      <c r="O20" s="159"/>
      <c r="P20" s="163"/>
      <c r="Q20" s="164"/>
    </row>
    <row r="21" spans="1:17" ht="27.75" customHeight="1">
      <c r="A21" s="2">
        <f t="shared" si="0"/>
        <v>16</v>
      </c>
      <c r="B21" s="23"/>
      <c r="C21" s="162"/>
      <c r="D21" s="162"/>
      <c r="E21" s="16"/>
      <c r="F21" s="10"/>
      <c r="G21" s="11"/>
      <c r="H21" s="11"/>
      <c r="I21" s="160"/>
      <c r="J21" s="161"/>
      <c r="K21" s="17"/>
      <c r="L21" s="18"/>
      <c r="M21" s="14"/>
      <c r="N21" s="14"/>
      <c r="O21" s="159"/>
      <c r="P21" s="163"/>
      <c r="Q21" s="164"/>
    </row>
    <row r="22" spans="1:17" ht="27.75" customHeight="1">
      <c r="A22" s="2">
        <f t="shared" si="0"/>
        <v>17</v>
      </c>
      <c r="B22" s="23"/>
      <c r="C22" s="162"/>
      <c r="D22" s="162"/>
      <c r="E22" s="16"/>
      <c r="F22" s="208"/>
      <c r="G22" s="11"/>
      <c r="H22" s="11"/>
      <c r="I22" s="160"/>
      <c r="J22" s="161"/>
      <c r="K22" s="17"/>
      <c r="L22" s="18"/>
      <c r="M22" s="14"/>
      <c r="N22" s="14"/>
      <c r="O22" s="159"/>
      <c r="P22" s="163"/>
      <c r="Q22" s="164"/>
    </row>
    <row r="23" spans="1:17" ht="27.75" customHeight="1">
      <c r="A23" s="2">
        <f t="shared" si="0"/>
        <v>18</v>
      </c>
      <c r="B23" s="23"/>
      <c r="C23" s="162"/>
      <c r="D23" s="162"/>
      <c r="E23" s="16"/>
      <c r="F23" s="10"/>
      <c r="G23" s="11"/>
      <c r="H23" s="11"/>
      <c r="I23" s="160"/>
      <c r="J23" s="161"/>
      <c r="K23" s="17"/>
      <c r="L23" s="18"/>
      <c r="M23" s="14"/>
      <c r="N23" s="14"/>
      <c r="O23" s="159"/>
      <c r="P23" s="163"/>
      <c r="Q23" s="164"/>
    </row>
    <row r="24" spans="1:17" ht="27.75" customHeight="1">
      <c r="A24" s="2">
        <f t="shared" si="0"/>
        <v>19</v>
      </c>
      <c r="B24" s="23"/>
      <c r="C24" s="162"/>
      <c r="D24" s="162"/>
      <c r="E24" s="16"/>
      <c r="F24" s="208"/>
      <c r="G24" s="11"/>
      <c r="H24" s="11"/>
      <c r="I24" s="160"/>
      <c r="J24" s="161"/>
      <c r="K24" s="17"/>
      <c r="L24" s="18"/>
      <c r="M24" s="14"/>
      <c r="N24" s="14"/>
      <c r="O24" s="159"/>
      <c r="P24" s="61"/>
      <c r="Q24" s="164"/>
    </row>
    <row r="25" spans="1:17" ht="27.75" customHeight="1">
      <c r="A25" s="2">
        <f t="shared" si="0"/>
        <v>20</v>
      </c>
      <c r="B25" s="23"/>
      <c r="C25" s="162"/>
      <c r="D25" s="162"/>
      <c r="E25" s="16"/>
      <c r="F25" s="10"/>
      <c r="G25" s="11"/>
      <c r="H25" s="11"/>
      <c r="I25" s="160"/>
      <c r="J25" s="161"/>
      <c r="K25" s="17"/>
      <c r="L25" s="18"/>
      <c r="M25" s="14"/>
      <c r="N25" s="14"/>
      <c r="O25" s="159"/>
      <c r="P25" s="61"/>
      <c r="Q25" s="164"/>
    </row>
    <row r="26" spans="1:17" ht="27.75" customHeight="1">
      <c r="A26" s="2">
        <f t="shared" si="0"/>
        <v>21</v>
      </c>
      <c r="B26" s="23"/>
      <c r="C26" s="162"/>
      <c r="D26" s="162"/>
      <c r="E26" s="16"/>
      <c r="F26" s="10"/>
      <c r="G26" s="11"/>
      <c r="H26" s="11"/>
      <c r="I26" s="160"/>
      <c r="J26" s="161"/>
      <c r="K26" s="17"/>
      <c r="L26" s="18"/>
      <c r="M26" s="14"/>
      <c r="N26" s="14"/>
      <c r="O26" s="159"/>
      <c r="P26" s="163"/>
      <c r="Q26" s="164"/>
    </row>
    <row r="27" spans="1:17" ht="27.75" customHeight="1">
      <c r="A27" s="2">
        <f t="shared" si="0"/>
        <v>22</v>
      </c>
      <c r="B27" s="23"/>
      <c r="C27" s="162"/>
      <c r="D27" s="162"/>
      <c r="E27" s="16"/>
      <c r="F27" s="10"/>
      <c r="G27" s="11"/>
      <c r="H27" s="11"/>
      <c r="I27" s="160"/>
      <c r="J27" s="161"/>
      <c r="K27" s="17"/>
      <c r="L27" s="18"/>
      <c r="M27" s="14"/>
      <c r="N27" s="14"/>
      <c r="O27" s="159"/>
      <c r="P27" s="163"/>
      <c r="Q27" s="164"/>
    </row>
    <row r="28" spans="1:17" ht="27.75" customHeight="1">
      <c r="A28" s="2">
        <f t="shared" si="0"/>
        <v>23</v>
      </c>
      <c r="B28" s="23"/>
      <c r="C28" s="162"/>
      <c r="D28" s="162"/>
      <c r="E28" s="16"/>
      <c r="F28" s="208"/>
      <c r="G28" s="11"/>
      <c r="H28" s="11"/>
      <c r="I28" s="160"/>
      <c r="J28" s="161"/>
      <c r="K28" s="17"/>
      <c r="L28" s="18"/>
      <c r="M28" s="14"/>
      <c r="N28" s="14"/>
      <c r="O28" s="159"/>
      <c r="P28" s="163"/>
      <c r="Q28" s="164"/>
    </row>
    <row r="29" spans="1:17" ht="27.75" customHeight="1">
      <c r="A29" s="2">
        <f t="shared" si="0"/>
        <v>24</v>
      </c>
      <c r="B29" s="23"/>
      <c r="C29" s="162"/>
      <c r="D29" s="162"/>
      <c r="E29" s="16"/>
      <c r="F29" s="10"/>
      <c r="G29" s="11"/>
      <c r="H29" s="11"/>
      <c r="I29" s="160"/>
      <c r="J29" s="161"/>
      <c r="K29" s="17"/>
      <c r="L29" s="18"/>
      <c r="M29" s="14"/>
      <c r="N29" s="14"/>
      <c r="O29" s="159"/>
      <c r="P29" s="163"/>
      <c r="Q29" s="164"/>
    </row>
    <row r="30" spans="1:17" ht="27.75" customHeight="1">
      <c r="A30" s="2">
        <f t="shared" si="0"/>
        <v>25</v>
      </c>
      <c r="B30" s="23"/>
      <c r="C30" s="162"/>
      <c r="D30" s="162"/>
      <c r="E30" s="16"/>
      <c r="F30" s="10"/>
      <c r="G30" s="11"/>
      <c r="H30" s="11"/>
      <c r="I30" s="160"/>
      <c r="J30" s="161"/>
      <c r="K30" s="17"/>
      <c r="L30" s="18"/>
      <c r="M30" s="14"/>
      <c r="N30" s="14"/>
      <c r="O30" s="159"/>
      <c r="P30" s="163"/>
      <c r="Q30" s="164"/>
    </row>
    <row r="31" spans="1:17" ht="27.75" customHeight="1">
      <c r="A31" s="2">
        <f t="shared" si="0"/>
        <v>26</v>
      </c>
      <c r="B31" s="23"/>
      <c r="C31" s="162"/>
      <c r="D31" s="162"/>
      <c r="E31" s="16"/>
      <c r="F31" s="10"/>
      <c r="G31" s="11"/>
      <c r="H31" s="11"/>
      <c r="I31" s="160"/>
      <c r="J31" s="161"/>
      <c r="K31" s="17"/>
      <c r="L31" s="18"/>
      <c r="M31" s="14"/>
      <c r="N31" s="14"/>
      <c r="O31" s="159"/>
      <c r="P31" s="163"/>
      <c r="Q31" s="164"/>
    </row>
    <row r="32" spans="1:17" ht="27.75" customHeight="1">
      <c r="A32" s="2">
        <f t="shared" si="0"/>
        <v>27</v>
      </c>
      <c r="B32" s="23"/>
      <c r="C32" s="162"/>
      <c r="D32" s="162"/>
      <c r="E32" s="16"/>
      <c r="F32" s="10"/>
      <c r="G32" s="11"/>
      <c r="H32" s="11"/>
      <c r="I32" s="160"/>
      <c r="J32" s="161"/>
      <c r="K32" s="17"/>
      <c r="L32" s="18"/>
      <c r="M32" s="14"/>
      <c r="N32" s="14"/>
      <c r="O32" s="159"/>
      <c r="P32" s="163"/>
      <c r="Q32" s="164"/>
    </row>
    <row r="33" spans="1:17" ht="27.75" customHeight="1">
      <c r="A33" s="2">
        <f t="shared" si="0"/>
        <v>28</v>
      </c>
      <c r="B33" s="23"/>
      <c r="C33" s="162"/>
      <c r="D33" s="162"/>
      <c r="E33" s="16"/>
      <c r="F33" s="208"/>
      <c r="G33" s="11"/>
      <c r="H33" s="11"/>
      <c r="I33" s="160"/>
      <c r="J33" s="161"/>
      <c r="K33" s="17"/>
      <c r="L33" s="18"/>
      <c r="M33" s="14"/>
      <c r="N33" s="14"/>
      <c r="O33" s="159"/>
      <c r="P33" s="163"/>
      <c r="Q33" s="164"/>
    </row>
    <row r="34" spans="1:17" ht="27.75" customHeight="1">
      <c r="A34" s="2">
        <f t="shared" si="0"/>
        <v>29</v>
      </c>
      <c r="B34" s="23"/>
      <c r="C34" s="162"/>
      <c r="D34" s="162"/>
      <c r="E34" s="16"/>
      <c r="F34" s="10"/>
      <c r="G34" s="11"/>
      <c r="H34" s="11"/>
      <c r="I34" s="160"/>
      <c r="J34" s="161"/>
      <c r="K34" s="17"/>
      <c r="L34" s="18"/>
      <c r="M34" s="14"/>
      <c r="N34" s="14"/>
      <c r="O34" s="159"/>
      <c r="P34" s="163"/>
      <c r="Q34" s="164"/>
    </row>
    <row r="35" spans="1:17" ht="27.75" customHeight="1">
      <c r="A35" s="2">
        <f t="shared" si="0"/>
        <v>30</v>
      </c>
      <c r="B35" s="23"/>
      <c r="C35" s="162"/>
      <c r="D35" s="162"/>
      <c r="E35" s="16"/>
      <c r="F35" s="10"/>
      <c r="G35" s="11"/>
      <c r="H35" s="11"/>
      <c r="I35" s="160"/>
      <c r="J35" s="161"/>
      <c r="K35" s="17"/>
      <c r="L35" s="18"/>
      <c r="M35" s="14"/>
      <c r="N35" s="14"/>
      <c r="O35" s="159"/>
      <c r="P35" s="163"/>
      <c r="Q35" s="164"/>
    </row>
    <row r="36" spans="1:17" ht="27.75" customHeight="1">
      <c r="A36" s="2">
        <f t="shared" si="0"/>
        <v>31</v>
      </c>
      <c r="B36" s="23"/>
      <c r="C36" s="162"/>
      <c r="D36" s="162"/>
      <c r="E36" s="162"/>
      <c r="F36" s="10"/>
      <c r="G36" s="11"/>
      <c r="H36" s="11"/>
      <c r="I36" s="160"/>
      <c r="J36" s="161"/>
      <c r="K36" s="17"/>
      <c r="L36" s="18"/>
      <c r="M36" s="14"/>
      <c r="N36" s="14"/>
      <c r="O36" s="159"/>
      <c r="P36" s="163"/>
      <c r="Q36" s="164"/>
    </row>
    <row r="37" spans="1:17" ht="38.25" customHeight="1">
      <c r="A37" s="2">
        <f t="shared" si="0"/>
        <v>32</v>
      </c>
      <c r="B37" s="23"/>
      <c r="C37" s="16"/>
      <c r="D37" s="162"/>
      <c r="E37" s="162"/>
      <c r="F37" s="10"/>
      <c r="G37" s="11"/>
      <c r="H37" s="11"/>
      <c r="I37" s="160"/>
      <c r="J37" s="161"/>
      <c r="K37" s="17"/>
      <c r="L37" s="18"/>
      <c r="M37" s="14"/>
      <c r="N37" s="14"/>
      <c r="O37" s="159"/>
      <c r="P37" s="163"/>
      <c r="Q37" s="164"/>
    </row>
    <row r="38" spans="1:17" ht="27.75" customHeight="1">
      <c r="A38" s="2">
        <f t="shared" si="0"/>
        <v>33</v>
      </c>
      <c r="B38" s="23"/>
      <c r="C38" s="162"/>
      <c r="D38" s="162"/>
      <c r="E38" s="162"/>
      <c r="F38" s="10"/>
      <c r="G38" s="11"/>
      <c r="H38" s="11"/>
      <c r="I38" s="160"/>
      <c r="J38" s="161"/>
      <c r="K38" s="17"/>
      <c r="L38" s="18"/>
      <c r="M38" s="14"/>
      <c r="N38" s="14"/>
      <c r="O38" s="159"/>
      <c r="P38" s="163"/>
      <c r="Q38" s="164"/>
    </row>
    <row r="39" spans="1:17" ht="27.75" customHeight="1">
      <c r="A39" s="2">
        <f t="shared" si="0"/>
        <v>34</v>
      </c>
      <c r="B39" s="23"/>
      <c r="C39" s="162"/>
      <c r="D39" s="162"/>
      <c r="E39" s="162"/>
      <c r="F39" s="10"/>
      <c r="G39" s="11"/>
      <c r="H39" s="11"/>
      <c r="I39" s="160"/>
      <c r="J39" s="161"/>
      <c r="K39" s="17"/>
      <c r="L39" s="18"/>
      <c r="M39" s="14"/>
      <c r="N39" s="14"/>
      <c r="O39" s="159"/>
      <c r="P39" s="163"/>
      <c r="Q39" s="164"/>
    </row>
    <row r="40" spans="1:17" ht="27.75" customHeight="1">
      <c r="A40" s="2">
        <f t="shared" si="0"/>
        <v>35</v>
      </c>
      <c r="B40" s="23"/>
      <c r="C40" s="162"/>
      <c r="D40" s="162"/>
      <c r="E40" s="162"/>
      <c r="F40" s="10"/>
      <c r="G40" s="11"/>
      <c r="H40" s="11"/>
      <c r="I40" s="160"/>
      <c r="J40" s="161"/>
      <c r="K40" s="17"/>
      <c r="L40" s="18"/>
      <c r="M40" s="14"/>
      <c r="N40" s="14"/>
      <c r="O40" s="159"/>
      <c r="P40" s="163"/>
      <c r="Q40" s="164"/>
    </row>
    <row r="41" spans="1:17" ht="27.75" customHeight="1">
      <c r="A41" s="2">
        <f t="shared" si="0"/>
        <v>36</v>
      </c>
      <c r="B41" s="23"/>
      <c r="C41" s="162"/>
      <c r="D41" s="162"/>
      <c r="E41" s="162"/>
      <c r="F41" s="10"/>
      <c r="G41" s="11"/>
      <c r="H41" s="11"/>
      <c r="I41" s="160"/>
      <c r="J41" s="161"/>
      <c r="K41" s="17"/>
      <c r="L41" s="18"/>
      <c r="M41" s="14"/>
      <c r="N41" s="14"/>
      <c r="O41" s="159"/>
      <c r="P41" s="163"/>
      <c r="Q41" s="164"/>
    </row>
    <row r="42" spans="1:17" ht="27.75" customHeight="1">
      <c r="A42" s="2">
        <f t="shared" si="0"/>
        <v>37</v>
      </c>
      <c r="B42" s="23"/>
      <c r="C42" s="162"/>
      <c r="D42" s="162"/>
      <c r="E42" s="162"/>
      <c r="F42" s="10"/>
      <c r="G42" s="11"/>
      <c r="H42" s="11"/>
      <c r="I42" s="160"/>
      <c r="J42" s="161"/>
      <c r="K42" s="17"/>
      <c r="L42" s="167"/>
      <c r="M42" s="14"/>
      <c r="N42" s="14"/>
      <c r="O42" s="159"/>
      <c r="P42" s="163"/>
      <c r="Q42" s="164"/>
    </row>
    <row r="43" spans="1:17" ht="36.75" customHeight="1">
      <c r="A43" s="2">
        <f t="shared" si="0"/>
        <v>38</v>
      </c>
      <c r="B43" s="23"/>
      <c r="C43" s="162"/>
      <c r="D43" s="162"/>
      <c r="E43" s="162"/>
      <c r="F43" s="10"/>
      <c r="G43" s="11"/>
      <c r="H43" s="11"/>
      <c r="I43" s="160"/>
      <c r="J43" s="161"/>
      <c r="K43" s="17"/>
      <c r="L43" s="18"/>
      <c r="M43" s="14"/>
      <c r="N43" s="14"/>
      <c r="O43" s="159"/>
      <c r="P43" s="163"/>
      <c r="Q43" s="164"/>
    </row>
    <row r="44" spans="1:17" ht="27.75" customHeight="1">
      <c r="A44" s="2">
        <f t="shared" si="0"/>
        <v>39</v>
      </c>
      <c r="B44" s="23"/>
      <c r="C44" s="162"/>
      <c r="D44" s="162"/>
      <c r="E44" s="162"/>
      <c r="F44" s="10"/>
      <c r="G44" s="11"/>
      <c r="H44" s="11"/>
      <c r="I44" s="160"/>
      <c r="J44" s="161"/>
      <c r="K44" s="17"/>
      <c r="L44" s="18"/>
      <c r="M44" s="14"/>
      <c r="N44" s="14"/>
      <c r="O44" s="159"/>
      <c r="P44" s="212"/>
      <c r="Q44" s="213"/>
    </row>
    <row r="45" spans="1:17" ht="27.75" customHeight="1">
      <c r="A45" s="2">
        <f t="shared" si="0"/>
        <v>40</v>
      </c>
      <c r="B45" s="23"/>
      <c r="C45" s="162"/>
      <c r="D45" s="162"/>
      <c r="E45" s="162"/>
      <c r="F45" s="10"/>
      <c r="G45" s="11"/>
      <c r="H45" s="11"/>
      <c r="I45" s="160"/>
      <c r="J45" s="161"/>
      <c r="K45" s="17"/>
      <c r="L45" s="18"/>
      <c r="M45" s="14"/>
      <c r="N45" s="14"/>
      <c r="O45" s="159"/>
      <c r="P45" s="212"/>
      <c r="Q45" s="213"/>
    </row>
    <row r="46" spans="1:17" ht="27.75" customHeight="1">
      <c r="A46" s="2">
        <f t="shared" si="0"/>
        <v>41</v>
      </c>
      <c r="B46" s="23"/>
      <c r="C46" s="162"/>
      <c r="D46" s="162"/>
      <c r="E46" s="16"/>
      <c r="F46" s="10"/>
      <c r="G46" s="11"/>
      <c r="H46" s="11"/>
      <c r="I46" s="160"/>
      <c r="J46" s="161"/>
      <c r="K46" s="168"/>
      <c r="L46" s="167"/>
      <c r="M46" s="14"/>
      <c r="N46" s="14"/>
      <c r="O46" s="159"/>
      <c r="P46" s="163"/>
      <c r="Q46" s="164"/>
    </row>
    <row r="47" spans="1:17" ht="27.75" customHeight="1">
      <c r="A47" s="2">
        <f t="shared" si="0"/>
        <v>42</v>
      </c>
      <c r="B47" s="23"/>
      <c r="C47" s="162"/>
      <c r="D47" s="162"/>
      <c r="E47" s="16"/>
      <c r="F47" s="10"/>
      <c r="G47" s="11"/>
      <c r="H47" s="11"/>
      <c r="I47" s="160"/>
      <c r="J47" s="161"/>
      <c r="K47" s="168"/>
      <c r="L47" s="167"/>
      <c r="M47" s="14"/>
      <c r="N47" s="14"/>
      <c r="O47" s="159"/>
      <c r="P47" s="212"/>
      <c r="Q47" s="213"/>
    </row>
    <row r="48" spans="1:17" ht="27.75" customHeight="1">
      <c r="A48" s="2">
        <f t="shared" si="0"/>
        <v>43</v>
      </c>
      <c r="B48" s="23"/>
      <c r="C48" s="162"/>
      <c r="D48" s="162"/>
      <c r="E48" s="16"/>
      <c r="F48" s="10"/>
      <c r="G48" s="11"/>
      <c r="H48" s="11"/>
      <c r="I48" s="160"/>
      <c r="J48" s="161"/>
      <c r="K48" s="17"/>
      <c r="L48" s="18"/>
      <c r="M48" s="14"/>
      <c r="N48" s="14"/>
      <c r="O48" s="249"/>
      <c r="P48" s="163"/>
      <c r="Q48" s="164"/>
    </row>
    <row r="49" spans="1:17" ht="27.75" customHeight="1">
      <c r="A49" s="2">
        <f t="shared" si="0"/>
        <v>44</v>
      </c>
      <c r="B49" s="23"/>
      <c r="C49" s="162"/>
      <c r="D49" s="162"/>
      <c r="E49" s="16"/>
      <c r="F49" s="10"/>
      <c r="G49" s="11"/>
      <c r="H49" s="11"/>
      <c r="I49" s="160"/>
      <c r="J49" s="161"/>
      <c r="K49" s="17"/>
      <c r="L49" s="18"/>
      <c r="M49" s="14"/>
      <c r="N49" s="14"/>
      <c r="O49" s="249"/>
      <c r="P49" s="163"/>
      <c r="Q49" s="164"/>
    </row>
    <row r="50" spans="1:17" ht="27.75" customHeight="1">
      <c r="A50" s="2">
        <f t="shared" si="0"/>
        <v>45</v>
      </c>
      <c r="B50" s="23"/>
      <c r="C50" s="162"/>
      <c r="D50" s="162"/>
      <c r="E50" s="16"/>
      <c r="F50" s="10"/>
      <c r="G50" s="11"/>
      <c r="H50" s="11"/>
      <c r="I50" s="160"/>
      <c r="J50" s="161"/>
      <c r="K50" s="17"/>
      <c r="L50" s="18"/>
      <c r="M50" s="14"/>
      <c r="N50" s="14"/>
      <c r="O50" s="159"/>
      <c r="P50" s="163"/>
      <c r="Q50" s="164"/>
    </row>
    <row r="51" spans="1:17" ht="27.75" customHeight="1">
      <c r="A51" s="2">
        <f t="shared" si="0"/>
        <v>46</v>
      </c>
      <c r="B51" s="23"/>
      <c r="C51" s="162"/>
      <c r="D51" s="162"/>
      <c r="E51" s="16"/>
      <c r="F51" s="10"/>
      <c r="G51" s="11"/>
      <c r="H51" s="11"/>
      <c r="I51" s="160"/>
      <c r="J51" s="161"/>
      <c r="K51" s="17"/>
      <c r="L51" s="18"/>
      <c r="M51" s="14"/>
      <c r="N51" s="14"/>
      <c r="O51" s="159"/>
      <c r="P51" s="163"/>
      <c r="Q51" s="164"/>
    </row>
    <row r="52" spans="1:17" ht="27.75" customHeight="1">
      <c r="A52" s="2">
        <f t="shared" si="0"/>
        <v>47</v>
      </c>
      <c r="B52" s="23"/>
      <c r="C52" s="162"/>
      <c r="D52" s="162"/>
      <c r="E52" s="16"/>
      <c r="F52" s="10"/>
      <c r="G52" s="11"/>
      <c r="H52" s="11"/>
      <c r="I52" s="160"/>
      <c r="J52" s="161"/>
      <c r="K52" s="17"/>
      <c r="L52" s="18"/>
      <c r="M52" s="14"/>
      <c r="N52" s="14"/>
      <c r="O52" s="159"/>
      <c r="P52" s="163"/>
      <c r="Q52" s="164"/>
    </row>
    <row r="53" spans="1:17" ht="27.75" customHeight="1">
      <c r="A53" s="2">
        <f t="shared" si="0"/>
        <v>48</v>
      </c>
      <c r="B53" s="23"/>
      <c r="C53" s="162"/>
      <c r="D53" s="162"/>
      <c r="E53" s="16"/>
      <c r="F53" s="10"/>
      <c r="G53" s="11"/>
      <c r="H53" s="11"/>
      <c r="I53" s="160"/>
      <c r="J53" s="161"/>
      <c r="K53" s="17"/>
      <c r="L53" s="18"/>
      <c r="M53" s="14"/>
      <c r="N53" s="14"/>
      <c r="O53" s="159"/>
      <c r="P53" s="212"/>
      <c r="Q53" s="213"/>
    </row>
    <row r="54" spans="1:17" ht="27.75" customHeight="1">
      <c r="A54" s="2">
        <f t="shared" si="0"/>
        <v>49</v>
      </c>
      <c r="B54" s="23"/>
      <c r="C54" s="162"/>
      <c r="D54" s="162"/>
      <c r="E54" s="16"/>
      <c r="F54" s="10"/>
      <c r="G54" s="11"/>
      <c r="H54" s="11"/>
      <c r="I54" s="160"/>
      <c r="J54" s="161"/>
      <c r="K54" s="17"/>
      <c r="L54" s="18"/>
      <c r="M54" s="14"/>
      <c r="N54" s="14"/>
      <c r="O54" s="159"/>
      <c r="P54" s="212"/>
      <c r="Q54" s="213"/>
    </row>
    <row r="55" spans="1:17" ht="27.75" customHeight="1">
      <c r="A55" s="2">
        <f t="shared" si="0"/>
        <v>50</v>
      </c>
      <c r="B55" s="23"/>
      <c r="C55" s="162"/>
      <c r="D55" s="162"/>
      <c r="E55" s="16"/>
      <c r="F55" s="10"/>
      <c r="G55" s="11"/>
      <c r="H55" s="11"/>
      <c r="I55" s="160"/>
      <c r="J55" s="161"/>
      <c r="K55" s="17"/>
      <c r="L55" s="18"/>
      <c r="M55" s="14"/>
      <c r="N55" s="14"/>
      <c r="O55" s="159"/>
      <c r="P55" s="163"/>
      <c r="Q55" s="164"/>
    </row>
    <row r="56" spans="1:17" ht="27.75" customHeight="1">
      <c r="A56" s="2">
        <f t="shared" si="0"/>
        <v>51</v>
      </c>
      <c r="B56" s="23"/>
      <c r="C56" s="162"/>
      <c r="D56" s="162"/>
      <c r="E56" s="16"/>
      <c r="F56" s="10"/>
      <c r="G56" s="11"/>
      <c r="H56" s="11"/>
      <c r="I56" s="160"/>
      <c r="J56" s="161"/>
      <c r="K56" s="17"/>
      <c r="L56" s="18"/>
      <c r="M56" s="14"/>
      <c r="N56" s="14"/>
      <c r="O56" s="159"/>
      <c r="P56" s="163"/>
      <c r="Q56" s="164"/>
    </row>
    <row r="57" spans="1:17" ht="27.75" customHeight="1">
      <c r="A57" s="2">
        <f t="shared" si="0"/>
        <v>52</v>
      </c>
      <c r="B57" s="23"/>
      <c r="C57" s="162"/>
      <c r="D57" s="162"/>
      <c r="E57" s="16"/>
      <c r="F57" s="10"/>
      <c r="G57" s="11"/>
      <c r="H57" s="11"/>
      <c r="I57" s="160"/>
      <c r="J57" s="161"/>
      <c r="K57" s="17"/>
      <c r="L57" s="18"/>
      <c r="M57" s="14"/>
      <c r="N57" s="14"/>
      <c r="O57" s="159"/>
      <c r="P57" s="163"/>
      <c r="Q57" s="164"/>
    </row>
    <row r="58" spans="1:17" ht="27.75" customHeight="1">
      <c r="A58" s="2">
        <f t="shared" si="0"/>
        <v>53</v>
      </c>
      <c r="B58" s="23"/>
      <c r="C58" s="162"/>
      <c r="D58" s="162"/>
      <c r="E58" s="16"/>
      <c r="F58" s="10"/>
      <c r="G58" s="11"/>
      <c r="H58" s="11"/>
      <c r="I58" s="160"/>
      <c r="J58" s="161"/>
      <c r="K58" s="17"/>
      <c r="L58" s="18"/>
      <c r="M58" s="14"/>
      <c r="N58" s="14"/>
      <c r="O58" s="159"/>
      <c r="P58" s="163"/>
      <c r="Q58" s="164"/>
    </row>
    <row r="59" spans="1:17" ht="27.75" customHeight="1">
      <c r="A59" s="2">
        <f t="shared" si="0"/>
        <v>54</v>
      </c>
      <c r="B59" s="23"/>
      <c r="C59" s="162"/>
      <c r="D59" s="162"/>
      <c r="E59" s="16"/>
      <c r="F59" s="10"/>
      <c r="G59" s="11"/>
      <c r="H59" s="11"/>
      <c r="I59" s="160"/>
      <c r="J59" s="161"/>
      <c r="K59" s="17"/>
      <c r="L59" s="18"/>
      <c r="M59" s="14"/>
      <c r="N59" s="14"/>
      <c r="O59" s="159"/>
      <c r="P59" s="163"/>
      <c r="Q59" s="164"/>
    </row>
    <row r="60" spans="1:17" ht="27.75" customHeight="1">
      <c r="A60" s="2">
        <f t="shared" si="0"/>
        <v>55</v>
      </c>
      <c r="B60" s="23"/>
      <c r="C60" s="162"/>
      <c r="D60" s="162"/>
      <c r="E60" s="16"/>
      <c r="F60" s="10"/>
      <c r="G60" s="11"/>
      <c r="H60" s="11"/>
      <c r="I60" s="160"/>
      <c r="J60" s="161"/>
      <c r="K60" s="17"/>
      <c r="L60" s="18"/>
      <c r="M60" s="14"/>
      <c r="N60" s="14"/>
      <c r="O60" s="159"/>
      <c r="P60" s="163"/>
      <c r="Q60" s="164"/>
    </row>
    <row r="61" spans="1:17" ht="27.75" customHeight="1">
      <c r="A61" s="2">
        <f t="shared" si="0"/>
        <v>56</v>
      </c>
      <c r="B61" s="23"/>
      <c r="C61" s="169"/>
      <c r="D61" s="162"/>
      <c r="E61" s="16"/>
      <c r="F61" s="10"/>
      <c r="G61" s="11"/>
      <c r="H61" s="11"/>
      <c r="I61" s="160"/>
      <c r="J61" s="161"/>
      <c r="K61" s="17"/>
      <c r="L61" s="18"/>
      <c r="M61" s="14"/>
      <c r="N61" s="14"/>
      <c r="O61" s="159"/>
      <c r="P61" s="212"/>
      <c r="Q61" s="213"/>
    </row>
    <row r="62" spans="1:17" ht="27.75" customHeight="1">
      <c r="A62" s="2">
        <f t="shared" si="0"/>
        <v>57</v>
      </c>
      <c r="B62" s="23"/>
      <c r="C62" s="162"/>
      <c r="D62" s="162"/>
      <c r="E62" s="16"/>
      <c r="F62" s="10"/>
      <c r="G62" s="11"/>
      <c r="H62" s="11"/>
      <c r="I62" s="160"/>
      <c r="J62" s="161"/>
      <c r="K62" s="17"/>
      <c r="L62" s="18"/>
      <c r="M62" s="14"/>
      <c r="N62" s="14"/>
      <c r="O62" s="159"/>
      <c r="P62" s="212"/>
      <c r="Q62" s="213"/>
    </row>
    <row r="63" spans="1:17" ht="27.75" customHeight="1">
      <c r="A63" s="2">
        <f t="shared" si="0"/>
        <v>58</v>
      </c>
      <c r="B63" s="23"/>
      <c r="C63" s="162"/>
      <c r="D63" s="162"/>
      <c r="E63" s="16"/>
      <c r="F63" s="10"/>
      <c r="G63" s="11"/>
      <c r="H63" s="11"/>
      <c r="I63" s="160"/>
      <c r="J63" s="161"/>
      <c r="K63" s="17"/>
      <c r="L63" s="18"/>
      <c r="M63" s="14"/>
      <c r="N63" s="14"/>
      <c r="O63" s="159"/>
      <c r="P63" s="163"/>
      <c r="Q63" s="164"/>
    </row>
    <row r="64" spans="1:17" ht="27.75" customHeight="1">
      <c r="A64" s="2">
        <f t="shared" si="0"/>
        <v>59</v>
      </c>
      <c r="B64" s="23"/>
      <c r="C64" s="162"/>
      <c r="D64" s="162"/>
      <c r="E64" s="16"/>
      <c r="F64" s="10"/>
      <c r="G64" s="11"/>
      <c r="H64" s="11"/>
      <c r="I64" s="160"/>
      <c r="J64" s="161"/>
      <c r="K64" s="17"/>
      <c r="L64" s="18"/>
      <c r="M64" s="14"/>
      <c r="N64" s="14"/>
      <c r="O64" s="159"/>
      <c r="P64" s="163"/>
      <c r="Q64" s="164"/>
    </row>
    <row r="65" spans="1:17" ht="27.75" customHeight="1">
      <c r="A65" s="2">
        <f t="shared" si="0"/>
        <v>60</v>
      </c>
      <c r="B65" s="23"/>
      <c r="C65" s="162"/>
      <c r="D65" s="162"/>
      <c r="E65" s="16"/>
      <c r="F65" s="10"/>
      <c r="G65" s="11"/>
      <c r="H65" s="11"/>
      <c r="I65" s="160"/>
      <c r="J65" s="161"/>
      <c r="K65" s="17"/>
      <c r="L65" s="18"/>
      <c r="M65" s="14"/>
      <c r="N65" s="14"/>
      <c r="O65" s="159"/>
      <c r="P65" s="163"/>
      <c r="Q65" s="164"/>
    </row>
    <row r="66" spans="1:17" ht="27.75" customHeight="1">
      <c r="A66" s="2">
        <f t="shared" si="0"/>
        <v>61</v>
      </c>
      <c r="B66" s="23"/>
      <c r="C66" s="162"/>
      <c r="D66" s="162"/>
      <c r="E66" s="16"/>
      <c r="F66" s="10"/>
      <c r="G66" s="11"/>
      <c r="H66" s="11"/>
      <c r="I66" s="160"/>
      <c r="J66" s="161"/>
      <c r="K66" s="17"/>
      <c r="L66" s="18"/>
      <c r="M66" s="14"/>
      <c r="N66" s="14"/>
      <c r="O66" s="159"/>
      <c r="P66" s="163"/>
      <c r="Q66" s="164"/>
    </row>
    <row r="67" spans="1:17" ht="27.75" customHeight="1">
      <c r="A67" s="2">
        <f t="shared" si="0"/>
        <v>62</v>
      </c>
      <c r="B67" s="23"/>
      <c r="C67" s="162"/>
      <c r="D67" s="162"/>
      <c r="E67" s="16"/>
      <c r="F67" s="10"/>
      <c r="G67" s="11"/>
      <c r="H67" s="11"/>
      <c r="I67" s="160"/>
      <c r="J67" s="161"/>
      <c r="K67" s="17"/>
      <c r="L67" s="18"/>
      <c r="M67" s="14"/>
      <c r="N67" s="14"/>
      <c r="O67" s="159"/>
      <c r="P67" s="163"/>
      <c r="Q67" s="164"/>
    </row>
    <row r="68" spans="1:17" ht="27.75" customHeight="1">
      <c r="A68" s="2">
        <f t="shared" si="0"/>
        <v>63</v>
      </c>
      <c r="B68" s="23"/>
      <c r="C68" s="162"/>
      <c r="D68" s="162"/>
      <c r="E68" s="16"/>
      <c r="F68" s="10"/>
      <c r="G68" s="11"/>
      <c r="H68" s="11"/>
      <c r="I68" s="160"/>
      <c r="J68" s="161"/>
      <c r="K68" s="17"/>
      <c r="L68" s="18"/>
      <c r="M68" s="14"/>
      <c r="N68" s="14"/>
      <c r="O68" s="159"/>
      <c r="P68" s="163"/>
      <c r="Q68" s="164"/>
    </row>
    <row r="69" spans="1:17" ht="27.75" customHeight="1">
      <c r="A69" s="2">
        <f t="shared" si="0"/>
        <v>64</v>
      </c>
      <c r="B69" s="23"/>
      <c r="C69" s="162"/>
      <c r="D69" s="162"/>
      <c r="E69" s="16"/>
      <c r="F69" s="10"/>
      <c r="G69" s="11"/>
      <c r="H69" s="11"/>
      <c r="I69" s="160"/>
      <c r="J69" s="161"/>
      <c r="K69" s="17"/>
      <c r="L69" s="18"/>
      <c r="M69" s="14"/>
      <c r="N69" s="14"/>
      <c r="O69" s="159"/>
      <c r="P69" s="163"/>
      <c r="Q69" s="164"/>
    </row>
    <row r="70" spans="1:17" ht="27.75" customHeight="1">
      <c r="A70" s="2">
        <f aca="true" t="shared" si="1" ref="A70:A133">ROW($A70:$IV70)-5</f>
        <v>65</v>
      </c>
      <c r="B70" s="23"/>
      <c r="C70" s="162"/>
      <c r="D70" s="162"/>
      <c r="E70" s="16"/>
      <c r="F70" s="10"/>
      <c r="G70" s="11"/>
      <c r="H70" s="11"/>
      <c r="I70" s="160"/>
      <c r="J70" s="161"/>
      <c r="K70" s="17"/>
      <c r="L70" s="18"/>
      <c r="M70" s="14"/>
      <c r="N70" s="14"/>
      <c r="O70" s="159"/>
      <c r="P70" s="163"/>
      <c r="Q70" s="164"/>
    </row>
    <row r="71" spans="1:17" ht="25.5" customHeight="1">
      <c r="A71" s="2">
        <f t="shared" si="1"/>
        <v>66</v>
      </c>
      <c r="B71" s="23"/>
      <c r="C71" s="162"/>
      <c r="D71" s="162"/>
      <c r="E71" s="16"/>
      <c r="F71" s="10"/>
      <c r="G71" s="11"/>
      <c r="H71" s="11"/>
      <c r="I71" s="160"/>
      <c r="J71" s="161"/>
      <c r="K71" s="17"/>
      <c r="L71" s="18"/>
      <c r="M71" s="14"/>
      <c r="N71" s="14"/>
      <c r="O71" s="159"/>
      <c r="P71" s="163"/>
      <c r="Q71" s="164"/>
    </row>
    <row r="72" spans="1:17" ht="25.5" customHeight="1">
      <c r="A72" s="2">
        <f t="shared" si="1"/>
        <v>67</v>
      </c>
      <c r="B72" s="23"/>
      <c r="C72" s="162"/>
      <c r="D72" s="162"/>
      <c r="E72" s="16"/>
      <c r="F72" s="10"/>
      <c r="G72" s="11"/>
      <c r="H72" s="11"/>
      <c r="I72" s="160"/>
      <c r="J72" s="161"/>
      <c r="K72" s="17"/>
      <c r="L72" s="18"/>
      <c r="M72" s="14"/>
      <c r="N72" s="14"/>
      <c r="O72" s="159"/>
      <c r="P72" s="163"/>
      <c r="Q72" s="164"/>
    </row>
    <row r="73" spans="1:17" ht="25.5" customHeight="1">
      <c r="A73" s="2">
        <f t="shared" si="1"/>
        <v>68</v>
      </c>
      <c r="B73" s="23"/>
      <c r="C73" s="162"/>
      <c r="D73" s="162"/>
      <c r="E73" s="16"/>
      <c r="F73" s="16"/>
      <c r="G73" s="11"/>
      <c r="H73" s="11"/>
      <c r="I73" s="160"/>
      <c r="J73" s="161"/>
      <c r="K73" s="17"/>
      <c r="L73" s="18"/>
      <c r="M73" s="14"/>
      <c r="N73" s="14"/>
      <c r="O73" s="159"/>
      <c r="P73" s="163"/>
      <c r="Q73" s="164"/>
    </row>
    <row r="74" spans="1:17" ht="25.5" customHeight="1">
      <c r="A74" s="2">
        <f t="shared" si="1"/>
        <v>69</v>
      </c>
      <c r="B74" s="23"/>
      <c r="C74" s="162"/>
      <c r="D74" s="162"/>
      <c r="E74" s="16"/>
      <c r="F74" s="10"/>
      <c r="G74" s="11"/>
      <c r="H74" s="11"/>
      <c r="I74" s="160"/>
      <c r="J74" s="161"/>
      <c r="K74" s="17"/>
      <c r="L74" s="18"/>
      <c r="M74" s="14"/>
      <c r="N74" s="14"/>
      <c r="O74" s="159"/>
      <c r="P74" s="163"/>
      <c r="Q74" s="164"/>
    </row>
    <row r="75" spans="1:17" ht="25.5" customHeight="1">
      <c r="A75" s="2">
        <f t="shared" si="1"/>
        <v>70</v>
      </c>
      <c r="B75" s="23"/>
      <c r="C75" s="162"/>
      <c r="D75" s="162"/>
      <c r="E75" s="16"/>
      <c r="F75" s="10"/>
      <c r="G75" s="11"/>
      <c r="H75" s="11"/>
      <c r="I75" s="160"/>
      <c r="J75" s="161"/>
      <c r="K75" s="17"/>
      <c r="L75" s="18"/>
      <c r="M75" s="14"/>
      <c r="N75" s="14"/>
      <c r="O75" s="159"/>
      <c r="P75" s="163"/>
      <c r="Q75" s="164"/>
    </row>
    <row r="76" spans="1:17" ht="25.5" customHeight="1">
      <c r="A76" s="2">
        <f t="shared" si="1"/>
        <v>71</v>
      </c>
      <c r="B76" s="23"/>
      <c r="C76" s="162"/>
      <c r="D76" s="162"/>
      <c r="E76" s="16"/>
      <c r="F76" s="10"/>
      <c r="G76" s="11"/>
      <c r="H76" s="11"/>
      <c r="I76" s="160"/>
      <c r="J76" s="161"/>
      <c r="K76" s="17"/>
      <c r="L76" s="18"/>
      <c r="M76" s="14"/>
      <c r="N76" s="14"/>
      <c r="O76" s="159"/>
      <c r="P76" s="163"/>
      <c r="Q76" s="164"/>
    </row>
    <row r="77" spans="1:17" ht="25.5" customHeight="1">
      <c r="A77" s="2">
        <f t="shared" si="1"/>
        <v>72</v>
      </c>
      <c r="B77" s="23"/>
      <c r="C77" s="162"/>
      <c r="D77" s="162"/>
      <c r="E77" s="16"/>
      <c r="F77" s="10"/>
      <c r="G77" s="11"/>
      <c r="H77" s="11"/>
      <c r="I77" s="160"/>
      <c r="J77" s="161"/>
      <c r="K77" s="17"/>
      <c r="L77" s="18"/>
      <c r="M77" s="14"/>
      <c r="N77" s="14"/>
      <c r="O77" s="159"/>
      <c r="P77" s="163"/>
      <c r="Q77" s="164"/>
    </row>
    <row r="78" spans="1:17" ht="25.5" customHeight="1">
      <c r="A78" s="2">
        <f t="shared" si="1"/>
        <v>73</v>
      </c>
      <c r="B78" s="23"/>
      <c r="C78" s="162"/>
      <c r="D78" s="162"/>
      <c r="E78" s="16"/>
      <c r="F78" s="10"/>
      <c r="G78" s="11"/>
      <c r="H78" s="11"/>
      <c r="I78" s="160"/>
      <c r="J78" s="161"/>
      <c r="K78" s="17"/>
      <c r="L78" s="18"/>
      <c r="M78" s="14"/>
      <c r="N78" s="14"/>
      <c r="O78" s="159"/>
      <c r="P78" s="163"/>
      <c r="Q78" s="164"/>
    </row>
    <row r="79" spans="1:17" ht="25.5" customHeight="1">
      <c r="A79" s="2">
        <f t="shared" si="1"/>
        <v>74</v>
      </c>
      <c r="B79" s="23"/>
      <c r="C79" s="162"/>
      <c r="D79" s="162"/>
      <c r="E79" s="16"/>
      <c r="F79" s="10"/>
      <c r="G79" s="11"/>
      <c r="H79" s="11"/>
      <c r="I79" s="160"/>
      <c r="J79" s="161"/>
      <c r="K79" s="17"/>
      <c r="L79" s="18"/>
      <c r="M79" s="14"/>
      <c r="N79" s="14"/>
      <c r="O79" s="159"/>
      <c r="P79" s="163"/>
      <c r="Q79" s="164"/>
    </row>
    <row r="80" spans="1:17" ht="25.5" customHeight="1">
      <c r="A80" s="2">
        <f t="shared" si="1"/>
        <v>75</v>
      </c>
      <c r="B80" s="23"/>
      <c r="C80" s="162"/>
      <c r="D80" s="162"/>
      <c r="E80" s="162"/>
      <c r="F80" s="10"/>
      <c r="G80" s="11"/>
      <c r="H80" s="11"/>
      <c r="I80" s="160"/>
      <c r="J80" s="161"/>
      <c r="K80" s="17"/>
      <c r="L80" s="18"/>
      <c r="M80" s="14"/>
      <c r="N80" s="14"/>
      <c r="O80" s="159"/>
      <c r="P80" s="163"/>
      <c r="Q80" s="164"/>
    </row>
    <row r="81" spans="1:17" ht="25.5" customHeight="1">
      <c r="A81" s="2">
        <f t="shared" si="1"/>
        <v>76</v>
      </c>
      <c r="B81" s="23"/>
      <c r="C81" s="162"/>
      <c r="D81" s="162"/>
      <c r="E81" s="16"/>
      <c r="F81" s="10"/>
      <c r="G81" s="11"/>
      <c r="H81" s="11"/>
      <c r="I81" s="160"/>
      <c r="J81" s="161"/>
      <c r="K81" s="17"/>
      <c r="L81" s="18"/>
      <c r="M81" s="14"/>
      <c r="N81" s="14"/>
      <c r="O81" s="159"/>
      <c r="P81" s="163"/>
      <c r="Q81" s="164"/>
    </row>
    <row r="82" spans="1:17" ht="25.5" customHeight="1">
      <c r="A82" s="2">
        <f t="shared" si="1"/>
        <v>77</v>
      </c>
      <c r="B82" s="23"/>
      <c r="C82" s="162"/>
      <c r="D82" s="162"/>
      <c r="E82" s="16"/>
      <c r="F82" s="10"/>
      <c r="G82" s="11"/>
      <c r="H82" s="11"/>
      <c r="I82" s="160"/>
      <c r="J82" s="161"/>
      <c r="K82" s="17"/>
      <c r="L82" s="18"/>
      <c r="M82" s="14"/>
      <c r="N82" s="14"/>
      <c r="O82" s="159"/>
      <c r="P82" s="163"/>
      <c r="Q82" s="164"/>
    </row>
    <row r="83" spans="1:17" ht="25.5" customHeight="1">
      <c r="A83" s="2">
        <f t="shared" si="1"/>
        <v>78</v>
      </c>
      <c r="B83" s="23"/>
      <c r="C83" s="162"/>
      <c r="D83" s="162"/>
      <c r="E83" s="16"/>
      <c r="F83" s="10"/>
      <c r="G83" s="11"/>
      <c r="H83" s="11"/>
      <c r="I83" s="160"/>
      <c r="J83" s="161"/>
      <c r="K83" s="17"/>
      <c r="L83" s="18"/>
      <c r="M83" s="14"/>
      <c r="N83" s="14"/>
      <c r="O83" s="159"/>
      <c r="P83" s="163"/>
      <c r="Q83" s="164"/>
    </row>
    <row r="84" spans="1:17" ht="25.5" customHeight="1">
      <c r="A84" s="2">
        <f t="shared" si="1"/>
        <v>79</v>
      </c>
      <c r="B84" s="23"/>
      <c r="C84" s="162"/>
      <c r="D84" s="162"/>
      <c r="E84" s="16"/>
      <c r="F84" s="10"/>
      <c r="G84" s="11"/>
      <c r="H84" s="11"/>
      <c r="I84" s="160"/>
      <c r="J84" s="161"/>
      <c r="K84" s="17"/>
      <c r="L84" s="18"/>
      <c r="M84" s="14"/>
      <c r="N84" s="14"/>
      <c r="O84" s="159"/>
      <c r="P84" s="163"/>
      <c r="Q84" s="164"/>
    </row>
    <row r="85" spans="1:17" ht="25.5" customHeight="1">
      <c r="A85" s="2">
        <f t="shared" si="1"/>
        <v>80</v>
      </c>
      <c r="B85" s="23"/>
      <c r="C85" s="162"/>
      <c r="D85" s="16"/>
      <c r="E85" s="16"/>
      <c r="F85" s="10"/>
      <c r="G85" s="11"/>
      <c r="H85" s="11"/>
      <c r="I85" s="160"/>
      <c r="J85" s="161"/>
      <c r="K85" s="17"/>
      <c r="L85" s="18"/>
      <c r="M85" s="14"/>
      <c r="N85" s="14"/>
      <c r="O85" s="159"/>
      <c r="P85" s="163"/>
      <c r="Q85" s="164"/>
    </row>
    <row r="86" spans="1:17" ht="25.5" customHeight="1">
      <c r="A86" s="2">
        <f t="shared" si="1"/>
        <v>81</v>
      </c>
      <c r="B86" s="23"/>
      <c r="C86" s="162"/>
      <c r="D86" s="16"/>
      <c r="E86" s="16"/>
      <c r="F86" s="10"/>
      <c r="G86" s="11"/>
      <c r="H86" s="11"/>
      <c r="I86" s="160"/>
      <c r="J86" s="161"/>
      <c r="K86" s="17"/>
      <c r="L86" s="18"/>
      <c r="M86" s="14"/>
      <c r="N86" s="14"/>
      <c r="O86" s="159"/>
      <c r="P86" s="163"/>
      <c r="Q86" s="164"/>
    </row>
    <row r="87" spans="1:17" ht="25.5" customHeight="1">
      <c r="A87" s="2">
        <f t="shared" si="1"/>
        <v>82</v>
      </c>
      <c r="B87" s="23"/>
      <c r="C87" s="162"/>
      <c r="D87" s="162"/>
      <c r="E87" s="16"/>
      <c r="F87" s="10"/>
      <c r="G87" s="11"/>
      <c r="H87" s="11"/>
      <c r="I87" s="251"/>
      <c r="J87" s="161"/>
      <c r="K87" s="17"/>
      <c r="L87" s="18"/>
      <c r="M87" s="14"/>
      <c r="N87" s="14"/>
      <c r="O87" s="159"/>
      <c r="P87" s="163"/>
      <c r="Q87" s="164"/>
    </row>
    <row r="88" spans="1:17" ht="25.5" customHeight="1">
      <c r="A88" s="2">
        <f t="shared" si="1"/>
        <v>83</v>
      </c>
      <c r="B88" s="23"/>
      <c r="C88" s="162"/>
      <c r="D88" s="162"/>
      <c r="E88" s="16"/>
      <c r="F88" s="10"/>
      <c r="G88" s="11"/>
      <c r="H88" s="11"/>
      <c r="I88" s="160"/>
      <c r="J88" s="161"/>
      <c r="K88" s="17"/>
      <c r="L88" s="18"/>
      <c r="M88" s="14"/>
      <c r="N88" s="14"/>
      <c r="O88" s="159"/>
      <c r="P88" s="163"/>
      <c r="Q88" s="164"/>
    </row>
    <row r="89" spans="1:17" ht="25.5" customHeight="1">
      <c r="A89" s="2">
        <f t="shared" si="1"/>
        <v>84</v>
      </c>
      <c r="B89" s="23"/>
      <c r="C89" s="162"/>
      <c r="D89" s="162"/>
      <c r="E89" s="16"/>
      <c r="F89" s="10"/>
      <c r="G89" s="11"/>
      <c r="H89" s="11"/>
      <c r="I89" s="160"/>
      <c r="J89" s="161"/>
      <c r="K89" s="17"/>
      <c r="L89" s="18"/>
      <c r="M89" s="14"/>
      <c r="N89" s="14"/>
      <c r="O89" s="159"/>
      <c r="P89" s="163"/>
      <c r="Q89" s="164"/>
    </row>
    <row r="90" spans="1:17" ht="44.25" customHeight="1">
      <c r="A90" s="2">
        <f t="shared" si="1"/>
        <v>85</v>
      </c>
      <c r="B90" s="23"/>
      <c r="C90" s="162"/>
      <c r="D90" s="162"/>
      <c r="E90" s="16"/>
      <c r="F90" s="10"/>
      <c r="G90" s="11"/>
      <c r="H90" s="11"/>
      <c r="I90" s="160"/>
      <c r="J90" s="161"/>
      <c r="K90" s="17"/>
      <c r="L90" s="18"/>
      <c r="M90" s="14"/>
      <c r="N90" s="14"/>
      <c r="O90" s="159"/>
      <c r="P90" s="163"/>
      <c r="Q90" s="164"/>
    </row>
    <row r="91" spans="1:17" ht="25.5" customHeight="1">
      <c r="A91" s="2">
        <f t="shared" si="1"/>
        <v>86</v>
      </c>
      <c r="B91" s="23"/>
      <c r="C91" s="162"/>
      <c r="D91" s="162"/>
      <c r="E91" s="16"/>
      <c r="F91" s="10"/>
      <c r="G91" s="11"/>
      <c r="H91" s="11"/>
      <c r="I91" s="160"/>
      <c r="J91" s="161"/>
      <c r="K91" s="168"/>
      <c r="L91" s="18"/>
      <c r="M91" s="14"/>
      <c r="N91" s="14"/>
      <c r="O91" s="159"/>
      <c r="P91" s="163"/>
      <c r="Q91" s="164"/>
    </row>
    <row r="92" spans="1:17" ht="25.5" customHeight="1">
      <c r="A92" s="2">
        <f t="shared" si="1"/>
        <v>87</v>
      </c>
      <c r="B92" s="23"/>
      <c r="C92" s="162"/>
      <c r="D92" s="162"/>
      <c r="E92" s="16"/>
      <c r="F92" s="10"/>
      <c r="G92" s="11"/>
      <c r="H92" s="11"/>
      <c r="I92" s="160"/>
      <c r="J92" s="161"/>
      <c r="K92" s="168"/>
      <c r="L92" s="18"/>
      <c r="M92" s="14"/>
      <c r="N92" s="14"/>
      <c r="O92" s="159"/>
      <c r="P92" s="163"/>
      <c r="Q92" s="164"/>
    </row>
    <row r="93" spans="1:17" ht="25.5" customHeight="1">
      <c r="A93" s="2">
        <f t="shared" si="1"/>
        <v>88</v>
      </c>
      <c r="B93" s="23"/>
      <c r="C93" s="162"/>
      <c r="D93" s="162"/>
      <c r="E93" s="16"/>
      <c r="F93" s="10"/>
      <c r="G93" s="11"/>
      <c r="H93" s="11"/>
      <c r="I93" s="160"/>
      <c r="J93" s="161"/>
      <c r="K93" s="168"/>
      <c r="L93" s="18"/>
      <c r="M93" s="14"/>
      <c r="N93" s="14"/>
      <c r="O93" s="159"/>
      <c r="P93" s="163"/>
      <c r="Q93" s="164"/>
    </row>
    <row r="94" spans="1:17" ht="25.5" customHeight="1">
      <c r="A94" s="2">
        <f t="shared" si="1"/>
        <v>89</v>
      </c>
      <c r="B94" s="23"/>
      <c r="C94" s="162"/>
      <c r="D94" s="162"/>
      <c r="E94" s="16"/>
      <c r="F94" s="10"/>
      <c r="G94" s="11"/>
      <c r="H94" s="11"/>
      <c r="I94" s="160"/>
      <c r="J94" s="161"/>
      <c r="K94" s="168"/>
      <c r="L94" s="18"/>
      <c r="M94" s="14"/>
      <c r="N94" s="14"/>
      <c r="O94" s="159"/>
      <c r="P94" s="163"/>
      <c r="Q94" s="164"/>
    </row>
    <row r="95" spans="1:17" ht="25.5" customHeight="1">
      <c r="A95" s="2">
        <f t="shared" si="1"/>
        <v>90</v>
      </c>
      <c r="B95" s="23"/>
      <c r="C95" s="162"/>
      <c r="D95" s="162"/>
      <c r="E95" s="16"/>
      <c r="F95" s="10"/>
      <c r="G95" s="11"/>
      <c r="H95" s="11"/>
      <c r="I95" s="160"/>
      <c r="J95" s="161"/>
      <c r="K95" s="168"/>
      <c r="L95" s="18"/>
      <c r="M95" s="14"/>
      <c r="N95" s="14"/>
      <c r="O95" s="159"/>
      <c r="P95" s="163"/>
      <c r="Q95" s="164"/>
    </row>
    <row r="96" spans="1:17" ht="25.5" customHeight="1">
      <c r="A96" s="2">
        <f t="shared" si="1"/>
        <v>91</v>
      </c>
      <c r="B96" s="23"/>
      <c r="C96" s="162"/>
      <c r="D96" s="169"/>
      <c r="E96" s="16"/>
      <c r="F96" s="170"/>
      <c r="G96" s="11"/>
      <c r="H96" s="11"/>
      <c r="I96" s="160"/>
      <c r="J96" s="161"/>
      <c r="K96" s="168"/>
      <c r="L96" s="18"/>
      <c r="M96" s="14"/>
      <c r="N96" s="14"/>
      <c r="O96" s="115"/>
      <c r="P96" s="163"/>
      <c r="Q96" s="164"/>
    </row>
    <row r="97" spans="1:17" ht="25.5" customHeight="1">
      <c r="A97" s="2">
        <f t="shared" si="1"/>
        <v>92</v>
      </c>
      <c r="B97" s="23"/>
      <c r="C97" s="162"/>
      <c r="D97" s="169"/>
      <c r="E97" s="16"/>
      <c r="F97" s="170"/>
      <c r="G97" s="11"/>
      <c r="H97" s="11"/>
      <c r="I97" s="160"/>
      <c r="J97" s="161"/>
      <c r="K97" s="168"/>
      <c r="L97" s="18"/>
      <c r="M97" s="14"/>
      <c r="N97" s="14"/>
      <c r="O97" s="115"/>
      <c r="P97" s="163"/>
      <c r="Q97" s="164"/>
    </row>
    <row r="98" spans="1:17" ht="25.5" customHeight="1">
      <c r="A98" s="2">
        <f t="shared" si="1"/>
        <v>93</v>
      </c>
      <c r="B98" s="23"/>
      <c r="C98" s="162"/>
      <c r="D98" s="169"/>
      <c r="E98" s="16"/>
      <c r="F98" s="170"/>
      <c r="G98" s="11"/>
      <c r="H98" s="11"/>
      <c r="I98" s="160"/>
      <c r="J98" s="161"/>
      <c r="K98" s="168"/>
      <c r="L98" s="18"/>
      <c r="M98" s="14"/>
      <c r="N98" s="14"/>
      <c r="O98" s="115"/>
      <c r="P98" s="163"/>
      <c r="Q98" s="164"/>
    </row>
    <row r="99" spans="1:17" ht="25.5" customHeight="1">
      <c r="A99" s="2">
        <f t="shared" si="1"/>
        <v>94</v>
      </c>
      <c r="B99" s="23"/>
      <c r="C99" s="162"/>
      <c r="D99" s="169"/>
      <c r="E99" s="16"/>
      <c r="F99" s="170"/>
      <c r="G99" s="11"/>
      <c r="H99" s="11"/>
      <c r="I99" s="160"/>
      <c r="J99" s="161"/>
      <c r="K99" s="168"/>
      <c r="L99" s="18"/>
      <c r="M99" s="14"/>
      <c r="N99" s="14"/>
      <c r="O99" s="115"/>
      <c r="P99" s="163"/>
      <c r="Q99" s="164"/>
    </row>
    <row r="100" spans="1:17" ht="25.5" customHeight="1">
      <c r="A100" s="2">
        <f t="shared" si="1"/>
        <v>95</v>
      </c>
      <c r="B100" s="23"/>
      <c r="C100" s="162"/>
      <c r="D100" s="162"/>
      <c r="E100" s="16"/>
      <c r="F100" s="10"/>
      <c r="G100" s="11"/>
      <c r="H100" s="11"/>
      <c r="I100" s="160"/>
      <c r="J100" s="161"/>
      <c r="K100" s="168"/>
      <c r="L100" s="18"/>
      <c r="M100" s="14"/>
      <c r="N100" s="14"/>
      <c r="O100" s="159"/>
      <c r="P100" s="163"/>
      <c r="Q100" s="164"/>
    </row>
    <row r="101" spans="1:17" ht="25.5" customHeight="1">
      <c r="A101" s="2">
        <f t="shared" si="1"/>
        <v>96</v>
      </c>
      <c r="B101" s="23"/>
      <c r="C101" s="162"/>
      <c r="D101" s="169"/>
      <c r="E101" s="16"/>
      <c r="F101" s="170"/>
      <c r="G101" s="11"/>
      <c r="H101" s="11"/>
      <c r="I101" s="160"/>
      <c r="J101" s="161"/>
      <c r="K101" s="168"/>
      <c r="L101" s="18"/>
      <c r="M101" s="14"/>
      <c r="N101" s="14"/>
      <c r="O101" s="115"/>
      <c r="P101" s="163"/>
      <c r="Q101" s="164"/>
    </row>
    <row r="102" spans="1:17" ht="25.5" customHeight="1">
      <c r="A102" s="2">
        <f t="shared" si="1"/>
        <v>97</v>
      </c>
      <c r="B102" s="23"/>
      <c r="C102" s="162"/>
      <c r="D102" s="169"/>
      <c r="E102" s="16"/>
      <c r="F102" s="170"/>
      <c r="G102" s="11"/>
      <c r="H102" s="11"/>
      <c r="I102" s="160"/>
      <c r="J102" s="161"/>
      <c r="K102" s="168"/>
      <c r="L102" s="18"/>
      <c r="M102" s="14"/>
      <c r="N102" s="14"/>
      <c r="O102" s="115"/>
      <c r="P102" s="163"/>
      <c r="Q102" s="164"/>
    </row>
    <row r="103" spans="1:17" ht="25.5" customHeight="1">
      <c r="A103" s="2">
        <f t="shared" si="1"/>
        <v>98</v>
      </c>
      <c r="B103" s="23"/>
      <c r="C103" s="162"/>
      <c r="D103" s="169"/>
      <c r="E103" s="16"/>
      <c r="F103" s="170"/>
      <c r="G103" s="11"/>
      <c r="H103" s="11"/>
      <c r="I103" s="160"/>
      <c r="J103" s="161"/>
      <c r="K103" s="168"/>
      <c r="L103" s="18"/>
      <c r="M103" s="14"/>
      <c r="N103" s="14"/>
      <c r="O103" s="115"/>
      <c r="P103" s="163"/>
      <c r="Q103" s="164"/>
    </row>
    <row r="104" spans="1:17" ht="25.5" customHeight="1">
      <c r="A104" s="2">
        <f t="shared" si="1"/>
        <v>99</v>
      </c>
      <c r="B104" s="23"/>
      <c r="C104" s="162"/>
      <c r="D104" s="162"/>
      <c r="E104" s="16"/>
      <c r="F104" s="10"/>
      <c r="G104" s="11"/>
      <c r="H104" s="11"/>
      <c r="I104" s="160"/>
      <c r="J104" s="161"/>
      <c r="K104" s="168"/>
      <c r="L104" s="18"/>
      <c r="M104" s="14"/>
      <c r="N104" s="14"/>
      <c r="O104" s="159"/>
      <c r="P104" s="163"/>
      <c r="Q104" s="164"/>
    </row>
    <row r="105" spans="1:17" ht="25.5" customHeight="1">
      <c r="A105" s="2">
        <f t="shared" si="1"/>
        <v>100</v>
      </c>
      <c r="B105" s="23"/>
      <c r="C105" s="162"/>
      <c r="D105" s="162"/>
      <c r="E105" s="16"/>
      <c r="F105" s="10"/>
      <c r="G105" s="11"/>
      <c r="H105" s="11"/>
      <c r="I105" s="160"/>
      <c r="J105" s="161"/>
      <c r="K105" s="168"/>
      <c r="L105" s="167"/>
      <c r="M105" s="14"/>
      <c r="N105" s="14"/>
      <c r="O105" s="159"/>
      <c r="P105" s="163"/>
      <c r="Q105" s="164"/>
    </row>
    <row r="106" spans="1:17" ht="25.5" customHeight="1">
      <c r="A106" s="2">
        <f t="shared" si="1"/>
        <v>101</v>
      </c>
      <c r="B106" s="23"/>
      <c r="C106" s="162"/>
      <c r="D106" s="162"/>
      <c r="E106" s="16"/>
      <c r="F106" s="10"/>
      <c r="G106" s="11"/>
      <c r="H106" s="11"/>
      <c r="I106" s="160"/>
      <c r="J106" s="161"/>
      <c r="K106" s="168"/>
      <c r="L106" s="167"/>
      <c r="M106" s="14"/>
      <c r="N106" s="14"/>
      <c r="O106" s="159"/>
      <c r="P106" s="163"/>
      <c r="Q106" s="164"/>
    </row>
    <row r="107" spans="1:17" ht="25.5" customHeight="1">
      <c r="A107" s="2">
        <f t="shared" si="1"/>
        <v>102</v>
      </c>
      <c r="B107" s="23"/>
      <c r="C107" s="162"/>
      <c r="D107" s="162"/>
      <c r="E107" s="16"/>
      <c r="F107" s="10"/>
      <c r="G107" s="11"/>
      <c r="H107" s="11"/>
      <c r="I107" s="160"/>
      <c r="J107" s="161"/>
      <c r="K107" s="168"/>
      <c r="L107" s="167"/>
      <c r="M107" s="14"/>
      <c r="N107" s="14"/>
      <c r="O107" s="159"/>
      <c r="P107" s="163"/>
      <c r="Q107" s="164"/>
    </row>
    <row r="108" spans="1:17" ht="25.5" customHeight="1">
      <c r="A108" s="2">
        <f t="shared" si="1"/>
        <v>103</v>
      </c>
      <c r="B108" s="23"/>
      <c r="C108" s="162"/>
      <c r="D108" s="162"/>
      <c r="E108" s="16"/>
      <c r="F108" s="10"/>
      <c r="G108" s="11"/>
      <c r="H108" s="11"/>
      <c r="I108" s="160"/>
      <c r="J108" s="161"/>
      <c r="K108" s="168"/>
      <c r="L108" s="167"/>
      <c r="M108" s="14"/>
      <c r="N108" s="14"/>
      <c r="O108" s="159"/>
      <c r="P108" s="163"/>
      <c r="Q108" s="164"/>
    </row>
    <row r="109" spans="1:17" ht="25.5" customHeight="1">
      <c r="A109" s="2">
        <f t="shared" si="1"/>
        <v>104</v>
      </c>
      <c r="B109" s="23"/>
      <c r="C109" s="162"/>
      <c r="D109" s="169"/>
      <c r="E109" s="16"/>
      <c r="F109" s="170"/>
      <c r="G109" s="58"/>
      <c r="H109" s="58"/>
      <c r="I109" s="160"/>
      <c r="J109" s="161"/>
      <c r="K109" s="172"/>
      <c r="L109" s="171"/>
      <c r="M109" s="173"/>
      <c r="N109" s="173"/>
      <c r="O109" s="115"/>
      <c r="P109" s="163"/>
      <c r="Q109" s="164"/>
    </row>
    <row r="110" spans="1:17" ht="25.5" customHeight="1">
      <c r="A110" s="2">
        <f t="shared" si="1"/>
        <v>105</v>
      </c>
      <c r="B110" s="23"/>
      <c r="C110" s="162"/>
      <c r="D110" s="162"/>
      <c r="E110" s="16"/>
      <c r="F110" s="10"/>
      <c r="G110" s="11"/>
      <c r="H110" s="11"/>
      <c r="I110" s="160"/>
      <c r="J110" s="161"/>
      <c r="K110" s="168"/>
      <c r="L110" s="167"/>
      <c r="M110" s="14"/>
      <c r="N110" s="14"/>
      <c r="O110" s="159"/>
      <c r="P110" s="163"/>
      <c r="Q110" s="164"/>
    </row>
    <row r="111" spans="1:17" ht="25.5" customHeight="1">
      <c r="A111" s="2">
        <f t="shared" si="1"/>
        <v>106</v>
      </c>
      <c r="B111" s="23"/>
      <c r="C111" s="162"/>
      <c r="D111" s="162"/>
      <c r="E111" s="16"/>
      <c r="F111" s="10"/>
      <c r="G111" s="11"/>
      <c r="H111" s="11"/>
      <c r="I111" s="160"/>
      <c r="J111" s="161"/>
      <c r="K111" s="168"/>
      <c r="L111" s="167"/>
      <c r="M111" s="14"/>
      <c r="N111" s="14"/>
      <c r="O111" s="159"/>
      <c r="P111" s="163"/>
      <c r="Q111" s="164"/>
    </row>
    <row r="112" spans="1:17" ht="25.5" customHeight="1">
      <c r="A112" s="2">
        <f t="shared" si="1"/>
        <v>107</v>
      </c>
      <c r="B112" s="23"/>
      <c r="C112" s="162"/>
      <c r="D112" s="16"/>
      <c r="E112" s="16"/>
      <c r="F112" s="10"/>
      <c r="G112" s="11"/>
      <c r="H112" s="11"/>
      <c r="I112" s="160"/>
      <c r="J112" s="161"/>
      <c r="K112" s="17"/>
      <c r="L112" s="18"/>
      <c r="M112" s="14"/>
      <c r="N112" s="14"/>
      <c r="O112" s="159"/>
      <c r="P112" s="163"/>
      <c r="Q112" s="164"/>
    </row>
    <row r="113" spans="1:17" ht="25.5" customHeight="1">
      <c r="A113" s="2">
        <f t="shared" si="1"/>
        <v>108</v>
      </c>
      <c r="B113" s="23"/>
      <c r="C113" s="162"/>
      <c r="D113" s="16"/>
      <c r="E113" s="16"/>
      <c r="F113" s="10"/>
      <c r="G113" s="11"/>
      <c r="H113" s="11"/>
      <c r="I113" s="160"/>
      <c r="J113" s="161"/>
      <c r="K113" s="17"/>
      <c r="L113" s="18"/>
      <c r="M113" s="14"/>
      <c r="N113" s="14"/>
      <c r="O113" s="159"/>
      <c r="P113" s="163"/>
      <c r="Q113" s="164"/>
    </row>
    <row r="114" spans="1:17" ht="26.25" customHeight="1">
      <c r="A114" s="2">
        <f t="shared" si="1"/>
        <v>109</v>
      </c>
      <c r="B114" s="23"/>
      <c r="C114" s="162"/>
      <c r="D114" s="162"/>
      <c r="E114" s="16"/>
      <c r="F114" s="10"/>
      <c r="G114" s="11"/>
      <c r="H114" s="11"/>
      <c r="I114" s="160"/>
      <c r="J114" s="161"/>
      <c r="K114" s="17"/>
      <c r="L114" s="18"/>
      <c r="M114" s="14"/>
      <c r="N114" s="14"/>
      <c r="O114" s="159"/>
      <c r="P114" s="163"/>
      <c r="Q114" s="164"/>
    </row>
    <row r="115" spans="1:17" ht="25.5" customHeight="1">
      <c r="A115" s="2">
        <f t="shared" si="1"/>
        <v>110</v>
      </c>
      <c r="B115" s="23"/>
      <c r="C115" s="162"/>
      <c r="D115" s="16"/>
      <c r="E115" s="16"/>
      <c r="F115" s="10"/>
      <c r="G115" s="11"/>
      <c r="H115" s="11"/>
      <c r="I115" s="160"/>
      <c r="J115" s="161"/>
      <c r="K115" s="17"/>
      <c r="L115" s="18"/>
      <c r="M115" s="14"/>
      <c r="N115" s="14"/>
      <c r="O115" s="159"/>
      <c r="P115" s="163"/>
      <c r="Q115" s="164"/>
    </row>
    <row r="116" spans="1:17" ht="25.5" customHeight="1">
      <c r="A116" s="2">
        <f t="shared" si="1"/>
        <v>111</v>
      </c>
      <c r="B116" s="23"/>
      <c r="C116" s="162"/>
      <c r="D116" s="16"/>
      <c r="E116" s="16"/>
      <c r="F116" s="10"/>
      <c r="G116" s="11"/>
      <c r="H116" s="11"/>
      <c r="I116" s="160"/>
      <c r="J116" s="161"/>
      <c r="K116" s="17"/>
      <c r="L116" s="18"/>
      <c r="M116" s="14"/>
      <c r="N116" s="14"/>
      <c r="O116" s="159"/>
      <c r="P116" s="163"/>
      <c r="Q116" s="164"/>
    </row>
    <row r="117" spans="1:17" ht="25.5" customHeight="1">
      <c r="A117" s="2">
        <f t="shared" si="1"/>
        <v>112</v>
      </c>
      <c r="B117" s="23"/>
      <c r="C117" s="162"/>
      <c r="D117" s="16"/>
      <c r="E117" s="16"/>
      <c r="F117" s="10"/>
      <c r="G117" s="11"/>
      <c r="H117" s="11"/>
      <c r="I117" s="160"/>
      <c r="J117" s="161"/>
      <c r="K117" s="17"/>
      <c r="L117" s="18"/>
      <c r="M117" s="14"/>
      <c r="N117" s="14"/>
      <c r="O117" s="159"/>
      <c r="P117" s="163"/>
      <c r="Q117" s="164"/>
    </row>
    <row r="118" spans="1:17" ht="25.5" customHeight="1">
      <c r="A118" s="2">
        <f t="shared" si="1"/>
        <v>113</v>
      </c>
      <c r="B118" s="23"/>
      <c r="C118" s="162"/>
      <c r="D118" s="16"/>
      <c r="E118" s="16"/>
      <c r="F118" s="10"/>
      <c r="G118" s="11"/>
      <c r="H118" s="11"/>
      <c r="I118" s="160"/>
      <c r="J118" s="161"/>
      <c r="K118" s="17"/>
      <c r="L118" s="18"/>
      <c r="M118" s="14"/>
      <c r="N118" s="14"/>
      <c r="O118" s="159"/>
      <c r="P118" s="163"/>
      <c r="Q118" s="164"/>
    </row>
    <row r="119" spans="1:17" ht="25.5" customHeight="1">
      <c r="A119" s="2">
        <f t="shared" si="1"/>
        <v>114</v>
      </c>
      <c r="B119" s="23"/>
      <c r="C119" s="162"/>
      <c r="D119" s="162"/>
      <c r="E119" s="16"/>
      <c r="F119" s="10"/>
      <c r="G119" s="11"/>
      <c r="H119" s="11"/>
      <c r="I119" s="160"/>
      <c r="J119" s="161"/>
      <c r="K119" s="168"/>
      <c r="L119" s="167"/>
      <c r="M119" s="14"/>
      <c r="N119" s="14"/>
      <c r="O119" s="159"/>
      <c r="P119" s="163"/>
      <c r="Q119" s="164"/>
    </row>
    <row r="120" spans="1:17" ht="25.5" customHeight="1">
      <c r="A120" s="2">
        <f t="shared" si="1"/>
        <v>115</v>
      </c>
      <c r="B120" s="23"/>
      <c r="C120" s="162"/>
      <c r="D120" s="162"/>
      <c r="E120" s="16"/>
      <c r="F120" s="10"/>
      <c r="G120" s="11"/>
      <c r="H120" s="11"/>
      <c r="I120" s="160"/>
      <c r="J120" s="161"/>
      <c r="K120" s="168"/>
      <c r="L120" s="167"/>
      <c r="M120" s="14"/>
      <c r="N120" s="14"/>
      <c r="O120" s="159"/>
      <c r="P120" s="163"/>
      <c r="Q120" s="164"/>
    </row>
    <row r="121" spans="1:17" ht="25.5" customHeight="1">
      <c r="A121" s="2">
        <f t="shared" si="1"/>
        <v>116</v>
      </c>
      <c r="B121" s="23"/>
      <c r="C121" s="162"/>
      <c r="D121" s="162"/>
      <c r="E121" s="16"/>
      <c r="F121" s="10"/>
      <c r="G121" s="11"/>
      <c r="H121" s="11"/>
      <c r="I121" s="160"/>
      <c r="J121" s="161"/>
      <c r="K121" s="168"/>
      <c r="L121" s="167"/>
      <c r="M121" s="14"/>
      <c r="N121" s="14"/>
      <c r="O121" s="159"/>
      <c r="P121" s="163"/>
      <c r="Q121" s="164"/>
    </row>
    <row r="122" spans="1:17" ht="25.5" customHeight="1">
      <c r="A122" s="2">
        <f t="shared" si="1"/>
        <v>117</v>
      </c>
      <c r="B122" s="23"/>
      <c r="C122" s="16"/>
      <c r="D122" s="162"/>
      <c r="E122" s="16"/>
      <c r="F122" s="10"/>
      <c r="G122" s="11"/>
      <c r="H122" s="11"/>
      <c r="I122" s="160"/>
      <c r="J122" s="161"/>
      <c r="K122" s="17"/>
      <c r="L122" s="18"/>
      <c r="M122" s="14"/>
      <c r="N122" s="14"/>
      <c r="O122" s="159"/>
      <c r="P122" s="163"/>
      <c r="Q122" s="164"/>
    </row>
    <row r="123" spans="1:17" ht="25.5" customHeight="1">
      <c r="A123" s="2">
        <f t="shared" si="1"/>
        <v>118</v>
      </c>
      <c r="B123" s="23"/>
      <c r="C123" s="169"/>
      <c r="D123" s="169"/>
      <c r="E123" s="16"/>
      <c r="F123" s="170"/>
      <c r="G123" s="11"/>
      <c r="H123" s="11"/>
      <c r="I123" s="160"/>
      <c r="J123" s="161"/>
      <c r="K123" s="168"/>
      <c r="L123" s="167"/>
      <c r="M123" s="14"/>
      <c r="N123" s="14"/>
      <c r="O123" s="115"/>
      <c r="P123" s="163"/>
      <c r="Q123" s="164"/>
    </row>
    <row r="124" spans="1:17" ht="25.5" customHeight="1">
      <c r="A124" s="2">
        <f t="shared" si="1"/>
        <v>119</v>
      </c>
      <c r="B124" s="23"/>
      <c r="C124" s="169"/>
      <c r="D124" s="169"/>
      <c r="E124" s="16"/>
      <c r="F124" s="170"/>
      <c r="G124" s="11"/>
      <c r="H124" s="11"/>
      <c r="I124" s="160"/>
      <c r="J124" s="161"/>
      <c r="K124" s="168"/>
      <c r="L124" s="167"/>
      <c r="M124" s="14"/>
      <c r="N124" s="14"/>
      <c r="O124" s="115"/>
      <c r="P124" s="163"/>
      <c r="Q124" s="164"/>
    </row>
    <row r="125" spans="1:17" ht="25.5" customHeight="1">
      <c r="A125" s="2">
        <f t="shared" si="1"/>
        <v>120</v>
      </c>
      <c r="B125" s="23"/>
      <c r="C125" s="162"/>
      <c r="D125" s="162"/>
      <c r="E125" s="16"/>
      <c r="F125" s="10"/>
      <c r="G125" s="11"/>
      <c r="H125" s="11"/>
      <c r="I125" s="160"/>
      <c r="J125" s="161"/>
      <c r="K125" s="17"/>
      <c r="L125" s="18"/>
      <c r="M125" s="14"/>
      <c r="N125" s="14"/>
      <c r="O125" s="159"/>
      <c r="P125" s="163"/>
      <c r="Q125" s="164"/>
    </row>
    <row r="126" spans="1:17" ht="25.5" customHeight="1">
      <c r="A126" s="2">
        <f t="shared" si="1"/>
        <v>121</v>
      </c>
      <c r="B126" s="23"/>
      <c r="C126" s="162"/>
      <c r="D126" s="162"/>
      <c r="E126" s="16"/>
      <c r="F126" s="10"/>
      <c r="G126" s="11"/>
      <c r="H126" s="11"/>
      <c r="I126" s="160"/>
      <c r="J126" s="161"/>
      <c r="K126" s="168"/>
      <c r="L126" s="167"/>
      <c r="M126" s="14"/>
      <c r="N126" s="14"/>
      <c r="O126" s="159"/>
      <c r="P126" s="163"/>
      <c r="Q126" s="164"/>
    </row>
    <row r="127" spans="1:17" ht="25.5" customHeight="1">
      <c r="A127" s="2">
        <f t="shared" si="1"/>
        <v>122</v>
      </c>
      <c r="B127" s="23"/>
      <c r="C127" s="162"/>
      <c r="D127" s="162"/>
      <c r="E127" s="16"/>
      <c r="F127" s="10"/>
      <c r="G127" s="11"/>
      <c r="H127" s="11"/>
      <c r="I127" s="160"/>
      <c r="J127" s="161"/>
      <c r="K127" s="168"/>
      <c r="L127" s="167"/>
      <c r="M127" s="14"/>
      <c r="N127" s="14"/>
      <c r="O127" s="159"/>
      <c r="P127" s="163"/>
      <c r="Q127" s="164"/>
    </row>
    <row r="128" spans="1:17" ht="25.5" customHeight="1">
      <c r="A128" s="2">
        <f t="shared" si="1"/>
        <v>123</v>
      </c>
      <c r="B128" s="23"/>
      <c r="C128" s="162"/>
      <c r="D128" s="162"/>
      <c r="E128" s="16"/>
      <c r="F128" s="10"/>
      <c r="G128" s="11"/>
      <c r="H128" s="11"/>
      <c r="I128" s="160"/>
      <c r="J128" s="161"/>
      <c r="K128" s="17"/>
      <c r="L128" s="18"/>
      <c r="M128" s="14"/>
      <c r="N128" s="14"/>
      <c r="O128" s="159"/>
      <c r="P128" s="163"/>
      <c r="Q128" s="164"/>
    </row>
    <row r="129" spans="1:17" ht="25.5" customHeight="1">
      <c r="A129" s="2">
        <f t="shared" si="1"/>
        <v>124</v>
      </c>
      <c r="B129" s="23"/>
      <c r="C129" s="162"/>
      <c r="D129" s="16"/>
      <c r="E129" s="16"/>
      <c r="F129" s="10"/>
      <c r="G129" s="11"/>
      <c r="H129" s="11"/>
      <c r="I129" s="160"/>
      <c r="J129" s="161"/>
      <c r="K129" s="17"/>
      <c r="L129" s="18"/>
      <c r="M129" s="14"/>
      <c r="N129" s="14"/>
      <c r="O129" s="159"/>
      <c r="P129" s="163"/>
      <c r="Q129" s="164"/>
    </row>
    <row r="130" spans="1:17" ht="25.5" customHeight="1">
      <c r="A130" s="2">
        <f t="shared" si="1"/>
        <v>125</v>
      </c>
      <c r="B130" s="23"/>
      <c r="C130" s="162"/>
      <c r="D130" s="16"/>
      <c r="E130" s="16"/>
      <c r="F130" s="10"/>
      <c r="G130" s="11"/>
      <c r="H130" s="11"/>
      <c r="I130" s="160"/>
      <c r="J130" s="161"/>
      <c r="K130" s="17"/>
      <c r="L130" s="18"/>
      <c r="M130" s="14"/>
      <c r="N130" s="14"/>
      <c r="O130" s="159"/>
      <c r="P130" s="163"/>
      <c r="Q130" s="164"/>
    </row>
    <row r="131" spans="1:17" ht="25.5" customHeight="1">
      <c r="A131" s="2">
        <f t="shared" si="1"/>
        <v>126</v>
      </c>
      <c r="B131" s="23"/>
      <c r="C131" s="16"/>
      <c r="D131" s="16"/>
      <c r="E131" s="16"/>
      <c r="F131" s="10"/>
      <c r="G131" s="11"/>
      <c r="H131" s="11"/>
      <c r="I131" s="160"/>
      <c r="J131" s="161"/>
      <c r="K131" s="17"/>
      <c r="L131" s="18"/>
      <c r="M131" s="14"/>
      <c r="N131" s="14"/>
      <c r="O131" s="159"/>
      <c r="P131" s="163"/>
      <c r="Q131" s="164"/>
    </row>
    <row r="132" spans="1:17" ht="25.5" customHeight="1">
      <c r="A132" s="2">
        <f t="shared" si="1"/>
        <v>127</v>
      </c>
      <c r="B132" s="23"/>
      <c r="C132" s="16"/>
      <c r="D132" s="16"/>
      <c r="E132" s="16"/>
      <c r="F132" s="10"/>
      <c r="G132" s="11"/>
      <c r="H132" s="11"/>
      <c r="I132" s="160"/>
      <c r="J132" s="161"/>
      <c r="K132" s="17"/>
      <c r="L132" s="18"/>
      <c r="M132" s="14"/>
      <c r="N132" s="14"/>
      <c r="O132" s="159"/>
      <c r="P132" s="163"/>
      <c r="Q132" s="164"/>
    </row>
    <row r="133" spans="1:17" ht="25.5" customHeight="1">
      <c r="A133" s="2">
        <f t="shared" si="1"/>
        <v>128</v>
      </c>
      <c r="B133" s="23"/>
      <c r="C133" s="16"/>
      <c r="D133" s="16"/>
      <c r="E133" s="16"/>
      <c r="F133" s="10"/>
      <c r="G133" s="11"/>
      <c r="H133" s="11"/>
      <c r="I133" s="160"/>
      <c r="J133" s="161"/>
      <c r="K133" s="17"/>
      <c r="L133" s="18"/>
      <c r="M133" s="14"/>
      <c r="N133" s="14"/>
      <c r="O133" s="159"/>
      <c r="P133" s="163"/>
      <c r="Q133" s="164"/>
    </row>
    <row r="134" spans="1:17" ht="25.5" customHeight="1">
      <c r="A134" s="2">
        <f aca="true" t="shared" si="2" ref="A134:A197">ROW($A134:$IV134)-5</f>
        <v>129</v>
      </c>
      <c r="B134" s="23"/>
      <c r="C134" s="162"/>
      <c r="D134" s="162"/>
      <c r="E134" s="16"/>
      <c r="F134" s="10"/>
      <c r="G134" s="11"/>
      <c r="H134" s="11"/>
      <c r="I134" s="160"/>
      <c r="J134" s="161"/>
      <c r="K134" s="17"/>
      <c r="L134" s="18"/>
      <c r="M134" s="14"/>
      <c r="N134" s="14"/>
      <c r="O134" s="159"/>
      <c r="P134" s="163"/>
      <c r="Q134" s="164"/>
    </row>
    <row r="135" spans="1:17" ht="25.5" customHeight="1">
      <c r="A135" s="2">
        <f t="shared" si="2"/>
        <v>130</v>
      </c>
      <c r="B135" s="23"/>
      <c r="C135" s="162"/>
      <c r="D135" s="162"/>
      <c r="E135" s="16"/>
      <c r="F135" s="10"/>
      <c r="G135" s="11"/>
      <c r="H135" s="11"/>
      <c r="I135" s="160"/>
      <c r="J135" s="161"/>
      <c r="K135" s="17"/>
      <c r="L135" s="18"/>
      <c r="M135" s="14"/>
      <c r="N135" s="14"/>
      <c r="O135" s="159"/>
      <c r="P135" s="163"/>
      <c r="Q135" s="164"/>
    </row>
    <row r="136" spans="1:17" ht="25.5" customHeight="1">
      <c r="A136" s="2">
        <f t="shared" si="2"/>
        <v>131</v>
      </c>
      <c r="B136" s="23"/>
      <c r="C136" s="162"/>
      <c r="D136" s="162"/>
      <c r="E136" s="16"/>
      <c r="F136" s="10"/>
      <c r="G136" s="11"/>
      <c r="H136" s="11"/>
      <c r="I136" s="160"/>
      <c r="J136" s="161"/>
      <c r="K136" s="17"/>
      <c r="L136" s="18"/>
      <c r="M136" s="14"/>
      <c r="N136" s="14"/>
      <c r="O136" s="159"/>
      <c r="P136" s="163"/>
      <c r="Q136" s="164"/>
    </row>
    <row r="137" spans="1:17" ht="25.5" customHeight="1">
      <c r="A137" s="2">
        <f t="shared" si="2"/>
        <v>132</v>
      </c>
      <c r="B137" s="23"/>
      <c r="C137" s="162"/>
      <c r="D137" s="162"/>
      <c r="E137" s="16"/>
      <c r="F137" s="10"/>
      <c r="G137" s="11"/>
      <c r="H137" s="11"/>
      <c r="I137" s="160"/>
      <c r="J137" s="161"/>
      <c r="K137" s="17"/>
      <c r="L137" s="18"/>
      <c r="M137" s="14"/>
      <c r="N137" s="14"/>
      <c r="O137" s="159"/>
      <c r="P137" s="163"/>
      <c r="Q137" s="164"/>
    </row>
    <row r="138" spans="1:17" ht="25.5" customHeight="1">
      <c r="A138" s="2">
        <f t="shared" si="2"/>
        <v>133</v>
      </c>
      <c r="B138" s="23"/>
      <c r="C138" s="162"/>
      <c r="D138" s="162"/>
      <c r="E138" s="16"/>
      <c r="F138" s="10"/>
      <c r="G138" s="11"/>
      <c r="H138" s="11"/>
      <c r="I138" s="160"/>
      <c r="J138" s="161"/>
      <c r="K138" s="17"/>
      <c r="L138" s="18"/>
      <c r="M138" s="14"/>
      <c r="N138" s="14"/>
      <c r="O138" s="159"/>
      <c r="P138" s="163"/>
      <c r="Q138" s="164"/>
    </row>
    <row r="139" spans="1:17" ht="25.5" customHeight="1">
      <c r="A139" s="2">
        <f t="shared" si="2"/>
        <v>134</v>
      </c>
      <c r="B139" s="23"/>
      <c r="C139" s="162"/>
      <c r="D139" s="162"/>
      <c r="E139" s="16"/>
      <c r="F139" s="10"/>
      <c r="G139" s="11"/>
      <c r="H139" s="11"/>
      <c r="I139" s="160"/>
      <c r="J139" s="161"/>
      <c r="K139" s="17"/>
      <c r="L139" s="18"/>
      <c r="M139" s="14"/>
      <c r="N139" s="14"/>
      <c r="O139" s="159"/>
      <c r="P139" s="163"/>
      <c r="Q139" s="164"/>
    </row>
    <row r="140" spans="1:17" ht="25.5" customHeight="1">
      <c r="A140" s="2">
        <f t="shared" si="2"/>
        <v>135</v>
      </c>
      <c r="B140" s="23"/>
      <c r="C140" s="162"/>
      <c r="D140" s="162"/>
      <c r="E140" s="16"/>
      <c r="F140" s="10"/>
      <c r="G140" s="11"/>
      <c r="H140" s="11"/>
      <c r="I140" s="160"/>
      <c r="J140" s="161"/>
      <c r="K140" s="17"/>
      <c r="L140" s="18"/>
      <c r="M140" s="14"/>
      <c r="N140" s="14"/>
      <c r="O140" s="159"/>
      <c r="P140" s="163"/>
      <c r="Q140" s="164"/>
    </row>
    <row r="141" spans="1:17" ht="25.5" customHeight="1">
      <c r="A141" s="2">
        <f t="shared" si="2"/>
        <v>136</v>
      </c>
      <c r="B141" s="23"/>
      <c r="C141" s="162"/>
      <c r="D141" s="162"/>
      <c r="E141" s="16"/>
      <c r="F141" s="10"/>
      <c r="G141" s="11"/>
      <c r="H141" s="11"/>
      <c r="I141" s="160"/>
      <c r="J141" s="161"/>
      <c r="K141" s="17"/>
      <c r="L141" s="18"/>
      <c r="M141" s="14"/>
      <c r="N141" s="14"/>
      <c r="O141" s="159"/>
      <c r="P141" s="163"/>
      <c r="Q141" s="164"/>
    </row>
    <row r="142" spans="1:17" ht="25.5" customHeight="1">
      <c r="A142" s="2">
        <f t="shared" si="2"/>
        <v>137</v>
      </c>
      <c r="B142" s="23"/>
      <c r="C142" s="162"/>
      <c r="D142" s="162"/>
      <c r="E142" s="16"/>
      <c r="F142" s="10"/>
      <c r="G142" s="174"/>
      <c r="H142" s="11"/>
      <c r="I142" s="160"/>
      <c r="J142" s="161"/>
      <c r="K142" s="17"/>
      <c r="L142" s="18"/>
      <c r="M142" s="14"/>
      <c r="N142" s="14"/>
      <c r="O142" s="159"/>
      <c r="P142" s="163"/>
      <c r="Q142" s="164"/>
    </row>
    <row r="143" spans="1:17" ht="25.5" customHeight="1">
      <c r="A143" s="2">
        <f t="shared" si="2"/>
        <v>138</v>
      </c>
      <c r="B143" s="23"/>
      <c r="C143" s="162"/>
      <c r="D143" s="162"/>
      <c r="E143" s="16"/>
      <c r="F143" s="10"/>
      <c r="G143" s="11"/>
      <c r="H143" s="11"/>
      <c r="I143" s="160"/>
      <c r="J143" s="161"/>
      <c r="K143" s="17"/>
      <c r="L143" s="18"/>
      <c r="M143" s="14"/>
      <c r="N143" s="14"/>
      <c r="O143" s="159"/>
      <c r="P143" s="163"/>
      <c r="Q143" s="164"/>
    </row>
    <row r="144" spans="1:17" ht="25.5" customHeight="1">
      <c r="A144" s="2">
        <f t="shared" si="2"/>
        <v>139</v>
      </c>
      <c r="B144" s="23"/>
      <c r="C144" s="162"/>
      <c r="D144" s="162"/>
      <c r="E144" s="16"/>
      <c r="F144" s="10"/>
      <c r="G144" s="11"/>
      <c r="H144" s="11"/>
      <c r="I144" s="160"/>
      <c r="J144" s="161"/>
      <c r="K144" s="17"/>
      <c r="L144" s="18"/>
      <c r="M144" s="14"/>
      <c r="N144" s="14"/>
      <c r="O144" s="159"/>
      <c r="P144" s="163"/>
      <c r="Q144" s="164"/>
    </row>
    <row r="145" spans="1:17" ht="25.5" customHeight="1">
      <c r="A145" s="2">
        <f t="shared" si="2"/>
        <v>140</v>
      </c>
      <c r="B145" s="23"/>
      <c r="C145" s="162"/>
      <c r="D145" s="162"/>
      <c r="E145" s="16"/>
      <c r="F145" s="10"/>
      <c r="G145" s="11"/>
      <c r="H145" s="11"/>
      <c r="I145" s="160"/>
      <c r="J145" s="161"/>
      <c r="K145" s="17"/>
      <c r="L145" s="18"/>
      <c r="M145" s="14"/>
      <c r="N145" s="14"/>
      <c r="O145" s="159"/>
      <c r="P145" s="163"/>
      <c r="Q145" s="164"/>
    </row>
    <row r="146" spans="1:17" ht="25.5" customHeight="1">
      <c r="A146" s="2">
        <f t="shared" si="2"/>
        <v>141</v>
      </c>
      <c r="B146" s="23"/>
      <c r="C146" s="162"/>
      <c r="D146" s="162"/>
      <c r="E146" s="16"/>
      <c r="F146" s="10"/>
      <c r="G146" s="11"/>
      <c r="H146" s="11"/>
      <c r="I146" s="160"/>
      <c r="J146" s="161"/>
      <c r="K146" s="17"/>
      <c r="L146" s="18"/>
      <c r="M146" s="14"/>
      <c r="N146" s="14"/>
      <c r="O146" s="159"/>
      <c r="P146" s="163"/>
      <c r="Q146" s="164"/>
    </row>
    <row r="147" spans="1:17" ht="25.5" customHeight="1">
      <c r="A147" s="2">
        <f t="shared" si="2"/>
        <v>142</v>
      </c>
      <c r="B147" s="23"/>
      <c r="C147" s="162"/>
      <c r="D147" s="162"/>
      <c r="E147" s="16"/>
      <c r="F147" s="10"/>
      <c r="G147" s="11"/>
      <c r="H147" s="11"/>
      <c r="I147" s="160"/>
      <c r="J147" s="161"/>
      <c r="K147" s="17"/>
      <c r="L147" s="18"/>
      <c r="M147" s="14"/>
      <c r="N147" s="14"/>
      <c r="O147" s="159"/>
      <c r="P147" s="163"/>
      <c r="Q147" s="164"/>
    </row>
    <row r="148" spans="1:17" ht="25.5" customHeight="1">
      <c r="A148" s="2">
        <f t="shared" si="2"/>
        <v>143</v>
      </c>
      <c r="B148" s="23"/>
      <c r="C148" s="162"/>
      <c r="D148" s="162"/>
      <c r="E148" s="16"/>
      <c r="F148" s="10"/>
      <c r="G148" s="11"/>
      <c r="H148" s="11"/>
      <c r="I148" s="160"/>
      <c r="J148" s="161"/>
      <c r="K148" s="17"/>
      <c r="L148" s="18"/>
      <c r="M148" s="14"/>
      <c r="N148" s="14"/>
      <c r="O148" s="159"/>
      <c r="P148" s="163"/>
      <c r="Q148" s="164"/>
    </row>
    <row r="149" spans="1:17" ht="25.5" customHeight="1">
      <c r="A149" s="2">
        <f t="shared" si="2"/>
        <v>144</v>
      </c>
      <c r="B149" s="23"/>
      <c r="C149" s="162"/>
      <c r="D149" s="162"/>
      <c r="E149" s="16"/>
      <c r="F149" s="10"/>
      <c r="G149" s="11"/>
      <c r="H149" s="11"/>
      <c r="I149" s="160"/>
      <c r="J149" s="161"/>
      <c r="K149" s="17"/>
      <c r="L149" s="18"/>
      <c r="M149" s="14"/>
      <c r="N149" s="14"/>
      <c r="O149" s="159"/>
      <c r="P149" s="163"/>
      <c r="Q149" s="164"/>
    </row>
    <row r="150" spans="1:17" ht="25.5" customHeight="1">
      <c r="A150" s="2">
        <f t="shared" si="2"/>
        <v>145</v>
      </c>
      <c r="B150" s="23"/>
      <c r="C150" s="162"/>
      <c r="D150" s="162"/>
      <c r="E150" s="16"/>
      <c r="F150" s="10"/>
      <c r="G150" s="11"/>
      <c r="H150" s="11"/>
      <c r="I150" s="160"/>
      <c r="J150" s="161"/>
      <c r="K150" s="17"/>
      <c r="L150" s="18"/>
      <c r="M150" s="14"/>
      <c r="N150" s="14"/>
      <c r="O150" s="159"/>
      <c r="P150" s="163"/>
      <c r="Q150" s="164"/>
    </row>
    <row r="151" spans="1:17" ht="25.5" customHeight="1">
      <c r="A151" s="2">
        <f t="shared" si="2"/>
        <v>146</v>
      </c>
      <c r="B151" s="23"/>
      <c r="C151" s="162"/>
      <c r="D151" s="162"/>
      <c r="E151" s="16"/>
      <c r="F151" s="10"/>
      <c r="G151" s="11"/>
      <c r="H151" s="11"/>
      <c r="I151" s="160"/>
      <c r="J151" s="161"/>
      <c r="K151" s="17"/>
      <c r="L151" s="18"/>
      <c r="M151" s="14"/>
      <c r="N151" s="14"/>
      <c r="O151" s="159"/>
      <c r="P151" s="163"/>
      <c r="Q151" s="164"/>
    </row>
    <row r="152" spans="1:17" ht="25.5" customHeight="1">
      <c r="A152" s="2">
        <f t="shared" si="2"/>
        <v>147</v>
      </c>
      <c r="B152" s="23"/>
      <c r="C152" s="162"/>
      <c r="D152" s="162"/>
      <c r="E152" s="16"/>
      <c r="F152" s="10"/>
      <c r="G152" s="11"/>
      <c r="H152" s="11"/>
      <c r="I152" s="160"/>
      <c r="J152" s="161"/>
      <c r="K152" s="17"/>
      <c r="L152" s="18"/>
      <c r="M152" s="14"/>
      <c r="N152" s="14"/>
      <c r="O152" s="159"/>
      <c r="P152" s="163"/>
      <c r="Q152" s="164"/>
    </row>
    <row r="153" spans="1:17" ht="25.5" customHeight="1">
      <c r="A153" s="2">
        <f t="shared" si="2"/>
        <v>148</v>
      </c>
      <c r="B153" s="23"/>
      <c r="C153" s="162"/>
      <c r="D153" s="162"/>
      <c r="E153" s="16"/>
      <c r="F153" s="10"/>
      <c r="G153" s="11"/>
      <c r="H153" s="11"/>
      <c r="I153" s="160"/>
      <c r="J153" s="161"/>
      <c r="K153" s="17"/>
      <c r="L153" s="18"/>
      <c r="M153" s="14"/>
      <c r="N153" s="14"/>
      <c r="O153" s="159"/>
      <c r="P153" s="163"/>
      <c r="Q153" s="164"/>
    </row>
    <row r="154" spans="1:17" ht="25.5" customHeight="1">
      <c r="A154" s="2">
        <f t="shared" si="2"/>
        <v>149</v>
      </c>
      <c r="B154" s="23"/>
      <c r="C154" s="16"/>
      <c r="D154" s="16"/>
      <c r="E154" s="16"/>
      <c r="F154" s="10"/>
      <c r="G154" s="11"/>
      <c r="H154" s="11"/>
      <c r="I154" s="160"/>
      <c r="J154" s="161"/>
      <c r="K154" s="17"/>
      <c r="L154" s="18"/>
      <c r="M154" s="14"/>
      <c r="N154" s="14"/>
      <c r="O154" s="159"/>
      <c r="P154" s="163"/>
      <c r="Q154" s="164"/>
    </row>
    <row r="155" spans="1:17" ht="25.5" customHeight="1">
      <c r="A155" s="2">
        <f t="shared" si="2"/>
        <v>150</v>
      </c>
      <c r="B155" s="23"/>
      <c r="C155" s="16"/>
      <c r="D155" s="16"/>
      <c r="E155" s="16"/>
      <c r="F155" s="10"/>
      <c r="G155" s="11"/>
      <c r="H155" s="11"/>
      <c r="I155" s="160"/>
      <c r="J155" s="161"/>
      <c r="K155" s="17"/>
      <c r="L155" s="18"/>
      <c r="M155" s="14"/>
      <c r="N155" s="14"/>
      <c r="O155" s="159"/>
      <c r="P155" s="163"/>
      <c r="Q155" s="164"/>
    </row>
    <row r="156" spans="1:17" ht="25.5" customHeight="1">
      <c r="A156" s="2">
        <f t="shared" si="2"/>
        <v>151</v>
      </c>
      <c r="B156" s="23"/>
      <c r="C156" s="16"/>
      <c r="D156" s="16"/>
      <c r="E156" s="16"/>
      <c r="F156" s="10"/>
      <c r="G156" s="11"/>
      <c r="H156" s="11"/>
      <c r="I156" s="160"/>
      <c r="J156" s="161"/>
      <c r="K156" s="17"/>
      <c r="L156" s="18"/>
      <c r="M156" s="14"/>
      <c r="N156" s="14"/>
      <c r="O156" s="159"/>
      <c r="P156" s="163"/>
      <c r="Q156" s="164"/>
    </row>
    <row r="157" spans="1:17" ht="25.5" customHeight="1">
      <c r="A157" s="2">
        <f t="shared" si="2"/>
        <v>152</v>
      </c>
      <c r="B157" s="23"/>
      <c r="C157" s="16"/>
      <c r="D157" s="16"/>
      <c r="E157" s="16"/>
      <c r="F157" s="10"/>
      <c r="G157" s="11"/>
      <c r="H157" s="11"/>
      <c r="I157" s="160"/>
      <c r="J157" s="161"/>
      <c r="K157" s="17"/>
      <c r="L157" s="18"/>
      <c r="M157" s="14"/>
      <c r="N157" s="14"/>
      <c r="O157" s="159"/>
      <c r="P157" s="163"/>
      <c r="Q157" s="164"/>
    </row>
    <row r="158" spans="1:17" ht="25.5" customHeight="1">
      <c r="A158" s="2">
        <f t="shared" si="2"/>
        <v>153</v>
      </c>
      <c r="B158" s="23"/>
      <c r="C158" s="16"/>
      <c r="D158" s="16"/>
      <c r="E158" s="16"/>
      <c r="F158" s="10"/>
      <c r="G158" s="11"/>
      <c r="H158" s="11"/>
      <c r="I158" s="160"/>
      <c r="J158" s="161"/>
      <c r="K158" s="17"/>
      <c r="L158" s="18"/>
      <c r="M158" s="14"/>
      <c r="N158" s="14"/>
      <c r="O158" s="159"/>
      <c r="P158" s="163"/>
      <c r="Q158" s="164"/>
    </row>
    <row r="159" spans="1:17" ht="25.5" customHeight="1">
      <c r="A159" s="2">
        <f t="shared" si="2"/>
        <v>154</v>
      </c>
      <c r="B159" s="23"/>
      <c r="C159" s="16"/>
      <c r="D159" s="16"/>
      <c r="E159" s="16"/>
      <c r="F159" s="10"/>
      <c r="G159" s="11"/>
      <c r="H159" s="11"/>
      <c r="I159" s="160"/>
      <c r="J159" s="161"/>
      <c r="K159" s="17"/>
      <c r="L159" s="18"/>
      <c r="M159" s="14"/>
      <c r="N159" s="14"/>
      <c r="O159" s="159"/>
      <c r="P159" s="163"/>
      <c r="Q159" s="164"/>
    </row>
    <row r="160" spans="1:17" ht="25.5" customHeight="1">
      <c r="A160" s="2">
        <f t="shared" si="2"/>
        <v>155</v>
      </c>
      <c r="B160" s="23"/>
      <c r="C160" s="16"/>
      <c r="D160" s="16"/>
      <c r="E160" s="16"/>
      <c r="F160" s="10"/>
      <c r="G160" s="11"/>
      <c r="H160" s="11"/>
      <c r="I160" s="160"/>
      <c r="J160" s="161"/>
      <c r="K160" s="17"/>
      <c r="L160" s="18"/>
      <c r="M160" s="14"/>
      <c r="N160" s="14"/>
      <c r="O160" s="159"/>
      <c r="P160" s="163"/>
      <c r="Q160" s="164"/>
    </row>
    <row r="161" spans="1:17" ht="25.5" customHeight="1">
      <c r="A161" s="2">
        <f t="shared" si="2"/>
        <v>156</v>
      </c>
      <c r="B161" s="23"/>
      <c r="C161" s="16"/>
      <c r="D161" s="16"/>
      <c r="E161" s="16"/>
      <c r="F161" s="10"/>
      <c r="G161" s="11"/>
      <c r="H161" s="11"/>
      <c r="I161" s="160"/>
      <c r="J161" s="161"/>
      <c r="K161" s="17"/>
      <c r="L161" s="18"/>
      <c r="M161" s="14"/>
      <c r="N161" s="14"/>
      <c r="O161" s="159"/>
      <c r="P161" s="163"/>
      <c r="Q161" s="164"/>
    </row>
    <row r="162" spans="1:17" ht="25.5" customHeight="1">
      <c r="A162" s="2">
        <f t="shared" si="2"/>
        <v>157</v>
      </c>
      <c r="B162" s="23"/>
      <c r="C162" s="16"/>
      <c r="D162" s="16"/>
      <c r="E162" s="16"/>
      <c r="F162" s="10"/>
      <c r="G162" s="11"/>
      <c r="H162" s="11"/>
      <c r="I162" s="160"/>
      <c r="J162" s="161"/>
      <c r="K162" s="17"/>
      <c r="L162" s="18"/>
      <c r="M162" s="14"/>
      <c r="N162" s="14"/>
      <c r="O162" s="159"/>
      <c r="P162" s="163"/>
      <c r="Q162" s="164"/>
    </row>
    <row r="163" spans="1:17" ht="25.5" customHeight="1">
      <c r="A163" s="2">
        <f t="shared" si="2"/>
        <v>158</v>
      </c>
      <c r="B163" s="23"/>
      <c r="C163" s="16"/>
      <c r="D163" s="16"/>
      <c r="E163" s="16"/>
      <c r="F163" s="10"/>
      <c r="G163" s="11"/>
      <c r="H163" s="11"/>
      <c r="I163" s="160"/>
      <c r="J163" s="161"/>
      <c r="K163" s="17"/>
      <c r="L163" s="18"/>
      <c r="M163" s="14"/>
      <c r="N163" s="14"/>
      <c r="O163" s="159"/>
      <c r="P163" s="163"/>
      <c r="Q163" s="164"/>
    </row>
    <row r="164" spans="1:17" ht="25.5" customHeight="1">
      <c r="A164" s="2">
        <f t="shared" si="2"/>
        <v>159</v>
      </c>
      <c r="B164" s="23"/>
      <c r="C164" s="16"/>
      <c r="D164" s="16"/>
      <c r="E164" s="16"/>
      <c r="F164" s="10"/>
      <c r="G164" s="11"/>
      <c r="H164" s="11"/>
      <c r="I164" s="160"/>
      <c r="J164" s="161"/>
      <c r="K164" s="17"/>
      <c r="L164" s="18"/>
      <c r="M164" s="14"/>
      <c r="N164" s="14"/>
      <c r="O164" s="159"/>
      <c r="P164" s="163"/>
      <c r="Q164" s="164"/>
    </row>
    <row r="165" spans="1:17" ht="25.5" customHeight="1">
      <c r="A165" s="2">
        <f t="shared" si="2"/>
        <v>160</v>
      </c>
      <c r="B165" s="23"/>
      <c r="C165" s="16"/>
      <c r="D165" s="16"/>
      <c r="E165" s="16"/>
      <c r="F165" s="10"/>
      <c r="G165" s="11"/>
      <c r="H165" s="11"/>
      <c r="I165" s="160"/>
      <c r="J165" s="161"/>
      <c r="K165" s="17"/>
      <c r="L165" s="18"/>
      <c r="M165" s="14"/>
      <c r="N165" s="14"/>
      <c r="O165" s="159"/>
      <c r="P165" s="163"/>
      <c r="Q165" s="164"/>
    </row>
    <row r="166" spans="1:17" ht="25.5" customHeight="1">
      <c r="A166" s="2">
        <f t="shared" si="2"/>
        <v>161</v>
      </c>
      <c r="B166" s="23"/>
      <c r="C166" s="16"/>
      <c r="D166" s="16"/>
      <c r="E166" s="16"/>
      <c r="F166" s="10"/>
      <c r="G166" s="11"/>
      <c r="H166" s="11"/>
      <c r="I166" s="160"/>
      <c r="J166" s="161"/>
      <c r="K166" s="17"/>
      <c r="L166" s="18"/>
      <c r="M166" s="14"/>
      <c r="N166" s="14"/>
      <c r="O166" s="159"/>
      <c r="P166" s="163"/>
      <c r="Q166" s="164"/>
    </row>
    <row r="167" spans="1:17" ht="25.5" customHeight="1">
      <c r="A167" s="2">
        <f t="shared" si="2"/>
        <v>162</v>
      </c>
      <c r="B167" s="23"/>
      <c r="C167" s="16"/>
      <c r="D167" s="16"/>
      <c r="E167" s="16"/>
      <c r="F167" s="10"/>
      <c r="G167" s="11"/>
      <c r="H167" s="11"/>
      <c r="I167" s="160"/>
      <c r="J167" s="161"/>
      <c r="K167" s="17"/>
      <c r="L167" s="18"/>
      <c r="M167" s="14"/>
      <c r="N167" s="14"/>
      <c r="O167" s="159"/>
      <c r="P167" s="163"/>
      <c r="Q167" s="164"/>
    </row>
    <row r="168" spans="1:17" ht="25.5" customHeight="1">
      <c r="A168" s="2">
        <f t="shared" si="2"/>
        <v>163</v>
      </c>
      <c r="B168" s="23"/>
      <c r="C168" s="16"/>
      <c r="D168" s="16"/>
      <c r="E168" s="16"/>
      <c r="F168" s="10"/>
      <c r="G168" s="11"/>
      <c r="H168" s="11"/>
      <c r="I168" s="160"/>
      <c r="J168" s="161"/>
      <c r="K168" s="17"/>
      <c r="L168" s="18"/>
      <c r="M168" s="14"/>
      <c r="N168" s="14"/>
      <c r="O168" s="159"/>
      <c r="P168" s="163"/>
      <c r="Q168" s="164"/>
    </row>
    <row r="169" spans="1:17" ht="25.5" customHeight="1">
      <c r="A169" s="2">
        <f t="shared" si="2"/>
        <v>164</v>
      </c>
      <c r="B169" s="23"/>
      <c r="C169" s="16"/>
      <c r="D169" s="16"/>
      <c r="E169" s="16"/>
      <c r="F169" s="10"/>
      <c r="G169" s="11"/>
      <c r="H169" s="11"/>
      <c r="I169" s="160"/>
      <c r="J169" s="161"/>
      <c r="K169" s="17"/>
      <c r="L169" s="18"/>
      <c r="M169" s="14"/>
      <c r="N169" s="14"/>
      <c r="O169" s="159"/>
      <c r="P169" s="163"/>
      <c r="Q169" s="164"/>
    </row>
    <row r="170" spans="1:17" ht="25.5" customHeight="1">
      <c r="A170" s="2">
        <f t="shared" si="2"/>
        <v>165</v>
      </c>
      <c r="B170" s="23"/>
      <c r="C170" s="16"/>
      <c r="D170" s="16"/>
      <c r="E170" s="16"/>
      <c r="F170" s="10"/>
      <c r="G170" s="11"/>
      <c r="H170" s="11"/>
      <c r="I170" s="160"/>
      <c r="J170" s="161"/>
      <c r="K170" s="17"/>
      <c r="L170" s="18"/>
      <c r="M170" s="14"/>
      <c r="N170" s="14"/>
      <c r="O170" s="159"/>
      <c r="P170" s="163"/>
      <c r="Q170" s="164"/>
    </row>
    <row r="171" spans="1:17" ht="25.5" customHeight="1">
      <c r="A171" s="2">
        <f t="shared" si="2"/>
        <v>166</v>
      </c>
      <c r="B171" s="23"/>
      <c r="C171" s="16"/>
      <c r="D171" s="16"/>
      <c r="E171" s="16"/>
      <c r="F171" s="10"/>
      <c r="G171" s="11"/>
      <c r="H171" s="11"/>
      <c r="I171" s="160"/>
      <c r="J171" s="161"/>
      <c r="K171" s="17"/>
      <c r="L171" s="18"/>
      <c r="M171" s="14"/>
      <c r="N171" s="14"/>
      <c r="O171" s="159"/>
      <c r="P171" s="163"/>
      <c r="Q171" s="164"/>
    </row>
    <row r="172" spans="1:17" ht="25.5" customHeight="1">
      <c r="A172" s="2">
        <f t="shared" si="2"/>
        <v>167</v>
      </c>
      <c r="B172" s="23"/>
      <c r="C172" s="16"/>
      <c r="D172" s="16"/>
      <c r="E172" s="16"/>
      <c r="F172" s="10"/>
      <c r="G172" s="11"/>
      <c r="H172" s="11"/>
      <c r="I172" s="160"/>
      <c r="J172" s="161"/>
      <c r="K172" s="17"/>
      <c r="L172" s="18"/>
      <c r="M172" s="14"/>
      <c r="N172" s="14"/>
      <c r="O172" s="159"/>
      <c r="P172" s="163"/>
      <c r="Q172" s="164"/>
    </row>
    <row r="173" spans="1:17" ht="25.5" customHeight="1">
      <c r="A173" s="2">
        <f t="shared" si="2"/>
        <v>168</v>
      </c>
      <c r="B173" s="23"/>
      <c r="C173" s="16"/>
      <c r="D173" s="16"/>
      <c r="E173" s="16"/>
      <c r="F173" s="10"/>
      <c r="G173" s="11"/>
      <c r="H173" s="11"/>
      <c r="I173" s="160"/>
      <c r="J173" s="161"/>
      <c r="K173" s="17"/>
      <c r="L173" s="18"/>
      <c r="M173" s="14"/>
      <c r="N173" s="14"/>
      <c r="O173" s="159"/>
      <c r="P173" s="163"/>
      <c r="Q173" s="164"/>
    </row>
    <row r="174" spans="1:17" ht="25.5" customHeight="1">
      <c r="A174" s="2">
        <f t="shared" si="2"/>
        <v>169</v>
      </c>
      <c r="B174" s="23"/>
      <c r="C174" s="16"/>
      <c r="D174" s="16"/>
      <c r="E174" s="16"/>
      <c r="F174" s="10"/>
      <c r="G174" s="11"/>
      <c r="H174" s="11"/>
      <c r="I174" s="160"/>
      <c r="J174" s="161"/>
      <c r="K174" s="17"/>
      <c r="L174" s="18"/>
      <c r="M174" s="14"/>
      <c r="N174" s="14"/>
      <c r="O174" s="159"/>
      <c r="P174" s="163"/>
      <c r="Q174" s="164"/>
    </row>
    <row r="175" spans="1:17" ht="25.5" customHeight="1">
      <c r="A175" s="2">
        <f t="shared" si="2"/>
        <v>170</v>
      </c>
      <c r="B175" s="23"/>
      <c r="C175" s="16"/>
      <c r="D175" s="16"/>
      <c r="E175" s="16"/>
      <c r="F175" s="10"/>
      <c r="G175" s="11"/>
      <c r="H175" s="11"/>
      <c r="I175" s="160"/>
      <c r="J175" s="161"/>
      <c r="K175" s="17"/>
      <c r="L175" s="18"/>
      <c r="M175" s="14"/>
      <c r="N175" s="14"/>
      <c r="O175" s="159"/>
      <c r="P175" s="163"/>
      <c r="Q175" s="164"/>
    </row>
    <row r="176" spans="1:17" ht="25.5" customHeight="1">
      <c r="A176" s="2">
        <f t="shared" si="2"/>
        <v>171</v>
      </c>
      <c r="B176" s="23"/>
      <c r="C176" s="16"/>
      <c r="D176" s="16"/>
      <c r="E176" s="16"/>
      <c r="F176" s="10"/>
      <c r="G176" s="11"/>
      <c r="H176" s="11"/>
      <c r="I176" s="160"/>
      <c r="J176" s="161"/>
      <c r="K176" s="17"/>
      <c r="L176" s="18"/>
      <c r="M176" s="14"/>
      <c r="N176" s="14"/>
      <c r="O176" s="159"/>
      <c r="P176" s="163"/>
      <c r="Q176" s="164"/>
    </row>
    <row r="177" spans="1:17" ht="25.5" customHeight="1">
      <c r="A177" s="2">
        <f t="shared" si="2"/>
        <v>172</v>
      </c>
      <c r="B177" s="23"/>
      <c r="C177" s="16"/>
      <c r="D177" s="16"/>
      <c r="E177" s="16"/>
      <c r="F177" s="10"/>
      <c r="G177" s="11"/>
      <c r="H177" s="11"/>
      <c r="I177" s="160"/>
      <c r="J177" s="161"/>
      <c r="K177" s="17"/>
      <c r="L177" s="18"/>
      <c r="M177" s="14"/>
      <c r="N177" s="14"/>
      <c r="O177" s="159"/>
      <c r="P177" s="163"/>
      <c r="Q177" s="164"/>
    </row>
    <row r="178" spans="1:17" ht="25.5" customHeight="1">
      <c r="A178" s="2">
        <f t="shared" si="2"/>
        <v>173</v>
      </c>
      <c r="B178" s="23"/>
      <c r="C178" s="16"/>
      <c r="D178" s="16"/>
      <c r="E178" s="16"/>
      <c r="F178" s="10"/>
      <c r="G178" s="11"/>
      <c r="H178" s="11"/>
      <c r="I178" s="160"/>
      <c r="J178" s="161"/>
      <c r="K178" s="17"/>
      <c r="L178" s="18"/>
      <c r="M178" s="14"/>
      <c r="N178" s="14"/>
      <c r="O178" s="159"/>
      <c r="P178" s="163"/>
      <c r="Q178" s="164"/>
    </row>
    <row r="179" spans="1:17" ht="25.5" customHeight="1">
      <c r="A179" s="2">
        <f t="shared" si="2"/>
        <v>174</v>
      </c>
      <c r="B179" s="23"/>
      <c r="C179" s="16"/>
      <c r="D179" s="16"/>
      <c r="E179" s="16"/>
      <c r="F179" s="10"/>
      <c r="G179" s="11"/>
      <c r="H179" s="11"/>
      <c r="I179" s="160"/>
      <c r="J179" s="161"/>
      <c r="K179" s="17"/>
      <c r="L179" s="18"/>
      <c r="M179" s="14"/>
      <c r="N179" s="14"/>
      <c r="O179" s="159"/>
      <c r="P179" s="163"/>
      <c r="Q179" s="164"/>
    </row>
    <row r="180" spans="1:17" ht="25.5" customHeight="1">
      <c r="A180" s="2">
        <f t="shared" si="2"/>
        <v>175</v>
      </c>
      <c r="B180" s="23"/>
      <c r="C180" s="16"/>
      <c r="D180" s="16"/>
      <c r="E180" s="16"/>
      <c r="F180" s="10"/>
      <c r="G180" s="11"/>
      <c r="H180" s="11"/>
      <c r="I180" s="160"/>
      <c r="J180" s="161"/>
      <c r="K180" s="17"/>
      <c r="L180" s="18"/>
      <c r="M180" s="14"/>
      <c r="N180" s="14"/>
      <c r="O180" s="159"/>
      <c r="P180" s="163"/>
      <c r="Q180" s="164"/>
    </row>
    <row r="181" spans="1:17" ht="25.5" customHeight="1">
      <c r="A181" s="2">
        <f t="shared" si="2"/>
        <v>176</v>
      </c>
      <c r="B181" s="23"/>
      <c r="C181" s="16"/>
      <c r="D181" s="16"/>
      <c r="E181" s="16"/>
      <c r="F181" s="10"/>
      <c r="G181" s="11"/>
      <c r="H181" s="11"/>
      <c r="I181" s="160"/>
      <c r="J181" s="161"/>
      <c r="K181" s="17"/>
      <c r="L181" s="18"/>
      <c r="M181" s="14"/>
      <c r="N181" s="14"/>
      <c r="O181" s="159"/>
      <c r="P181" s="163"/>
      <c r="Q181" s="164"/>
    </row>
    <row r="182" spans="1:17" ht="25.5" customHeight="1">
      <c r="A182" s="2">
        <f t="shared" si="2"/>
        <v>177</v>
      </c>
      <c r="B182" s="23"/>
      <c r="C182" s="16"/>
      <c r="D182" s="16"/>
      <c r="E182" s="16"/>
      <c r="F182" s="10"/>
      <c r="G182" s="11"/>
      <c r="H182" s="11"/>
      <c r="I182" s="160"/>
      <c r="J182" s="161"/>
      <c r="K182" s="17"/>
      <c r="L182" s="18"/>
      <c r="M182" s="14"/>
      <c r="N182" s="14"/>
      <c r="O182" s="159"/>
      <c r="P182" s="163"/>
      <c r="Q182" s="164"/>
    </row>
    <row r="183" spans="1:17" ht="25.5" customHeight="1">
      <c r="A183" s="2">
        <f t="shared" si="2"/>
        <v>178</v>
      </c>
      <c r="B183" s="23"/>
      <c r="C183" s="16"/>
      <c r="D183" s="16"/>
      <c r="E183" s="16"/>
      <c r="F183" s="10"/>
      <c r="G183" s="11"/>
      <c r="H183" s="11"/>
      <c r="I183" s="160"/>
      <c r="J183" s="161"/>
      <c r="K183" s="17"/>
      <c r="L183" s="18"/>
      <c r="M183" s="14"/>
      <c r="N183" s="14"/>
      <c r="O183" s="159"/>
      <c r="P183" s="163"/>
      <c r="Q183" s="164"/>
    </row>
    <row r="184" spans="1:17" ht="25.5" customHeight="1">
      <c r="A184" s="2">
        <f t="shared" si="2"/>
        <v>179</v>
      </c>
      <c r="B184" s="23"/>
      <c r="C184" s="16"/>
      <c r="D184" s="16"/>
      <c r="E184" s="16"/>
      <c r="F184" s="10"/>
      <c r="G184" s="11"/>
      <c r="H184" s="11"/>
      <c r="I184" s="160"/>
      <c r="J184" s="161"/>
      <c r="K184" s="17"/>
      <c r="L184" s="18"/>
      <c r="M184" s="14"/>
      <c r="N184" s="14"/>
      <c r="O184" s="159"/>
      <c r="P184" s="163"/>
      <c r="Q184" s="164"/>
    </row>
    <row r="185" spans="1:17" ht="25.5" customHeight="1">
      <c r="A185" s="2">
        <f t="shared" si="2"/>
        <v>180</v>
      </c>
      <c r="B185" s="23"/>
      <c r="C185" s="16"/>
      <c r="D185" s="16"/>
      <c r="E185" s="16"/>
      <c r="F185" s="10"/>
      <c r="G185" s="11"/>
      <c r="H185" s="11"/>
      <c r="I185" s="160"/>
      <c r="J185" s="161"/>
      <c r="K185" s="17"/>
      <c r="L185" s="18"/>
      <c r="M185" s="14"/>
      <c r="N185" s="14"/>
      <c r="O185" s="159"/>
      <c r="P185" s="179"/>
      <c r="Q185" s="180"/>
    </row>
    <row r="186" spans="1:17" ht="25.5" customHeight="1">
      <c r="A186" s="2">
        <f t="shared" si="2"/>
        <v>181</v>
      </c>
      <c r="B186" s="23"/>
      <c r="C186" s="16"/>
      <c r="D186" s="16"/>
      <c r="E186" s="16"/>
      <c r="F186" s="10"/>
      <c r="G186" s="11"/>
      <c r="H186" s="11"/>
      <c r="I186" s="160"/>
      <c r="J186" s="161"/>
      <c r="K186" s="17"/>
      <c r="L186" s="18"/>
      <c r="M186" s="14"/>
      <c r="N186" s="14"/>
      <c r="O186" s="159"/>
      <c r="P186" s="179"/>
      <c r="Q186" s="180"/>
    </row>
    <row r="187" spans="1:17" ht="25.5" customHeight="1">
      <c r="A187" s="2">
        <f t="shared" si="2"/>
        <v>182</v>
      </c>
      <c r="B187" s="23"/>
      <c r="C187" s="16"/>
      <c r="D187" s="16"/>
      <c r="E187" s="16"/>
      <c r="F187" s="10"/>
      <c r="G187" s="11"/>
      <c r="H187" s="11"/>
      <c r="I187" s="160"/>
      <c r="J187" s="161"/>
      <c r="K187" s="17"/>
      <c r="L187" s="18"/>
      <c r="M187" s="14"/>
      <c r="N187" s="14"/>
      <c r="O187" s="159"/>
      <c r="P187" s="179"/>
      <c r="Q187" s="180"/>
    </row>
    <row r="188" spans="1:17" ht="25.5" customHeight="1">
      <c r="A188" s="2">
        <f t="shared" si="2"/>
        <v>183</v>
      </c>
      <c r="B188" s="23"/>
      <c r="C188" s="16"/>
      <c r="D188" s="16"/>
      <c r="E188" s="16"/>
      <c r="F188" s="10"/>
      <c r="G188" s="11"/>
      <c r="H188" s="11"/>
      <c r="I188" s="160"/>
      <c r="J188" s="161"/>
      <c r="K188" s="17"/>
      <c r="L188" s="18"/>
      <c r="M188" s="14"/>
      <c r="N188" s="14"/>
      <c r="O188" s="159"/>
      <c r="P188" s="179"/>
      <c r="Q188" s="180"/>
    </row>
    <row r="189" spans="1:17" ht="25.5" customHeight="1">
      <c r="A189" s="2">
        <f t="shared" si="2"/>
        <v>184</v>
      </c>
      <c r="B189" s="23"/>
      <c r="C189" s="16"/>
      <c r="D189" s="16"/>
      <c r="E189" s="16"/>
      <c r="F189" s="10"/>
      <c r="G189" s="11"/>
      <c r="H189" s="11"/>
      <c r="I189" s="160"/>
      <c r="J189" s="161"/>
      <c r="K189" s="17"/>
      <c r="L189" s="18"/>
      <c r="M189" s="14"/>
      <c r="N189" s="14"/>
      <c r="O189" s="159"/>
      <c r="P189" s="179"/>
      <c r="Q189" s="180"/>
    </row>
    <row r="190" spans="1:17" ht="25.5" customHeight="1">
      <c r="A190" s="2">
        <f t="shared" si="2"/>
        <v>185</v>
      </c>
      <c r="B190" s="23"/>
      <c r="C190" s="16"/>
      <c r="D190" s="16"/>
      <c r="E190" s="16"/>
      <c r="F190" s="10"/>
      <c r="G190" s="11"/>
      <c r="H190" s="11"/>
      <c r="I190" s="160"/>
      <c r="J190" s="161"/>
      <c r="K190" s="17"/>
      <c r="L190" s="18"/>
      <c r="M190" s="14"/>
      <c r="N190" s="14"/>
      <c r="O190" s="159"/>
      <c r="P190" s="179"/>
      <c r="Q190" s="180"/>
    </row>
    <row r="191" spans="1:17" ht="25.5" customHeight="1">
      <c r="A191" s="2">
        <f t="shared" si="2"/>
        <v>186</v>
      </c>
      <c r="B191" s="23"/>
      <c r="C191" s="16"/>
      <c r="D191" s="16"/>
      <c r="E191" s="16"/>
      <c r="F191" s="10"/>
      <c r="G191" s="11"/>
      <c r="H191" s="11"/>
      <c r="I191" s="160"/>
      <c r="J191" s="161"/>
      <c r="K191" s="17"/>
      <c r="L191" s="18"/>
      <c r="M191" s="14"/>
      <c r="N191" s="14"/>
      <c r="O191" s="159"/>
      <c r="P191" s="179"/>
      <c r="Q191" s="180"/>
    </row>
    <row r="192" spans="1:17" ht="25.5" customHeight="1">
      <c r="A192" s="2">
        <f t="shared" si="2"/>
        <v>187</v>
      </c>
      <c r="B192" s="23"/>
      <c r="C192" s="16"/>
      <c r="D192" s="16"/>
      <c r="E192" s="16"/>
      <c r="F192" s="10"/>
      <c r="G192" s="11"/>
      <c r="H192" s="11"/>
      <c r="I192" s="160"/>
      <c r="J192" s="161"/>
      <c r="K192" s="17"/>
      <c r="L192" s="18"/>
      <c r="M192" s="14"/>
      <c r="N192" s="14"/>
      <c r="O192" s="159"/>
      <c r="P192" s="179"/>
      <c r="Q192" s="180"/>
    </row>
    <row r="193" spans="1:17" ht="25.5" customHeight="1">
      <c r="A193" s="2">
        <f t="shared" si="2"/>
        <v>188</v>
      </c>
      <c r="B193" s="23"/>
      <c r="C193" s="16"/>
      <c r="D193" s="16"/>
      <c r="E193" s="16"/>
      <c r="F193" s="10"/>
      <c r="G193" s="11"/>
      <c r="H193" s="11"/>
      <c r="I193" s="160"/>
      <c r="J193" s="161"/>
      <c r="K193" s="17"/>
      <c r="L193" s="18"/>
      <c r="M193" s="14"/>
      <c r="N193" s="14"/>
      <c r="O193" s="159"/>
      <c r="P193" s="179"/>
      <c r="Q193" s="180"/>
    </row>
    <row r="194" spans="1:17" ht="25.5" customHeight="1">
      <c r="A194" s="2">
        <f t="shared" si="2"/>
        <v>189</v>
      </c>
      <c r="B194" s="23"/>
      <c r="C194" s="16"/>
      <c r="D194" s="16"/>
      <c r="E194" s="16"/>
      <c r="F194" s="10"/>
      <c r="G194" s="11"/>
      <c r="H194" s="11"/>
      <c r="I194" s="160"/>
      <c r="J194" s="161"/>
      <c r="K194" s="17"/>
      <c r="L194" s="18"/>
      <c r="M194" s="14"/>
      <c r="N194" s="14"/>
      <c r="O194" s="159"/>
      <c r="P194" s="179"/>
      <c r="Q194" s="180"/>
    </row>
    <row r="195" spans="1:17" ht="25.5" customHeight="1">
      <c r="A195" s="2">
        <f t="shared" si="2"/>
        <v>190</v>
      </c>
      <c r="B195" s="23"/>
      <c r="C195" s="16"/>
      <c r="D195" s="16"/>
      <c r="E195" s="16"/>
      <c r="F195" s="10"/>
      <c r="G195" s="11"/>
      <c r="H195" s="11"/>
      <c r="I195" s="160"/>
      <c r="J195" s="161"/>
      <c r="K195" s="17"/>
      <c r="L195" s="18"/>
      <c r="M195" s="14"/>
      <c r="N195" s="14"/>
      <c r="O195" s="159"/>
      <c r="P195" s="163"/>
      <c r="Q195" s="164"/>
    </row>
    <row r="196" spans="1:17" ht="25.5" customHeight="1">
      <c r="A196" s="2">
        <f t="shared" si="2"/>
        <v>191</v>
      </c>
      <c r="B196" s="23"/>
      <c r="C196" s="16"/>
      <c r="D196" s="16"/>
      <c r="E196" s="16"/>
      <c r="F196" s="10"/>
      <c r="G196" s="11"/>
      <c r="H196" s="11"/>
      <c r="I196" s="160"/>
      <c r="J196" s="161"/>
      <c r="K196" s="17"/>
      <c r="L196" s="18"/>
      <c r="M196" s="14"/>
      <c r="N196" s="14"/>
      <c r="O196" s="159"/>
      <c r="P196" s="163"/>
      <c r="Q196" s="164"/>
    </row>
    <row r="197" spans="1:17" ht="25.5" customHeight="1">
      <c r="A197" s="2">
        <f t="shared" si="2"/>
        <v>192</v>
      </c>
      <c r="B197" s="23"/>
      <c r="C197" s="16"/>
      <c r="D197" s="16"/>
      <c r="E197" s="16"/>
      <c r="F197" s="10"/>
      <c r="G197" s="11"/>
      <c r="H197" s="11"/>
      <c r="I197" s="160"/>
      <c r="J197" s="161"/>
      <c r="K197" s="17"/>
      <c r="L197" s="18"/>
      <c r="M197" s="14"/>
      <c r="N197" s="14"/>
      <c r="O197" s="159"/>
      <c r="P197" s="163"/>
      <c r="Q197" s="164"/>
    </row>
    <row r="198" spans="1:17" ht="25.5" customHeight="1">
      <c r="A198" s="2">
        <f aca="true" t="shared" si="3" ref="A198:A261">ROW($A198:$IV198)-5</f>
        <v>193</v>
      </c>
      <c r="B198" s="23"/>
      <c r="C198" s="16"/>
      <c r="D198" s="16"/>
      <c r="E198" s="16"/>
      <c r="F198" s="10"/>
      <c r="G198" s="11"/>
      <c r="H198" s="11"/>
      <c r="I198" s="160"/>
      <c r="J198" s="161"/>
      <c r="K198" s="17"/>
      <c r="L198" s="18"/>
      <c r="M198" s="14"/>
      <c r="N198" s="14"/>
      <c r="O198" s="159"/>
      <c r="P198" s="163"/>
      <c r="Q198" s="164"/>
    </row>
    <row r="199" spans="1:17" ht="25.5" customHeight="1">
      <c r="A199" s="2">
        <f t="shared" si="3"/>
        <v>194</v>
      </c>
      <c r="B199" s="23"/>
      <c r="C199" s="16"/>
      <c r="D199" s="16"/>
      <c r="E199" s="16"/>
      <c r="F199" s="10"/>
      <c r="G199" s="11"/>
      <c r="H199" s="11"/>
      <c r="I199" s="160"/>
      <c r="J199" s="161"/>
      <c r="K199" s="17"/>
      <c r="L199" s="18"/>
      <c r="M199" s="14"/>
      <c r="N199" s="14"/>
      <c r="O199" s="159"/>
      <c r="P199" s="163"/>
      <c r="Q199" s="164"/>
    </row>
    <row r="200" spans="1:17" ht="25.5" customHeight="1">
      <c r="A200" s="2">
        <f t="shared" si="3"/>
        <v>195</v>
      </c>
      <c r="B200" s="23"/>
      <c r="C200" s="16"/>
      <c r="D200" s="16"/>
      <c r="E200" s="16"/>
      <c r="F200" s="10"/>
      <c r="G200" s="11"/>
      <c r="H200" s="11"/>
      <c r="I200" s="160"/>
      <c r="J200" s="161"/>
      <c r="K200" s="17"/>
      <c r="L200" s="18"/>
      <c r="M200" s="14"/>
      <c r="N200" s="14"/>
      <c r="O200" s="159"/>
      <c r="P200" s="163"/>
      <c r="Q200" s="164"/>
    </row>
    <row r="201" spans="1:17" ht="25.5" customHeight="1">
      <c r="A201" s="2">
        <f t="shared" si="3"/>
        <v>196</v>
      </c>
      <c r="B201" s="23"/>
      <c r="C201" s="16"/>
      <c r="D201" s="16"/>
      <c r="E201" s="16"/>
      <c r="F201" s="10"/>
      <c r="G201" s="11"/>
      <c r="H201" s="11"/>
      <c r="I201" s="160"/>
      <c r="J201" s="161"/>
      <c r="K201" s="17"/>
      <c r="L201" s="18"/>
      <c r="M201" s="14"/>
      <c r="N201" s="14"/>
      <c r="O201" s="159"/>
      <c r="P201" s="163"/>
      <c r="Q201" s="164"/>
    </row>
    <row r="202" spans="1:17" ht="25.5" customHeight="1">
      <c r="A202" s="2">
        <f t="shared" si="3"/>
        <v>197</v>
      </c>
      <c r="B202" s="23"/>
      <c r="C202" s="16"/>
      <c r="D202" s="16"/>
      <c r="E202" s="16"/>
      <c r="F202" s="10"/>
      <c r="G202" s="11"/>
      <c r="H202" s="11"/>
      <c r="I202" s="160"/>
      <c r="J202" s="161"/>
      <c r="K202" s="17"/>
      <c r="L202" s="18"/>
      <c r="M202" s="14"/>
      <c r="N202" s="14"/>
      <c r="O202" s="159"/>
      <c r="P202" s="163"/>
      <c r="Q202" s="164"/>
    </row>
    <row r="203" spans="1:17" ht="25.5" customHeight="1">
      <c r="A203" s="2">
        <f t="shared" si="3"/>
        <v>198</v>
      </c>
      <c r="B203" s="23"/>
      <c r="C203" s="16"/>
      <c r="D203" s="16"/>
      <c r="E203" s="16"/>
      <c r="F203" s="10"/>
      <c r="G203" s="11"/>
      <c r="H203" s="11"/>
      <c r="I203" s="160"/>
      <c r="J203" s="161"/>
      <c r="K203" s="17"/>
      <c r="L203" s="18"/>
      <c r="M203" s="14"/>
      <c r="N203" s="14"/>
      <c r="O203" s="159"/>
      <c r="P203" s="163"/>
      <c r="Q203" s="164"/>
    </row>
    <row r="204" spans="1:17" ht="25.5" customHeight="1">
      <c r="A204" s="2">
        <f t="shared" si="3"/>
        <v>199</v>
      </c>
      <c r="B204" s="23"/>
      <c r="C204" s="16"/>
      <c r="D204" s="16"/>
      <c r="E204" s="16"/>
      <c r="F204" s="10"/>
      <c r="G204" s="11"/>
      <c r="H204" s="11"/>
      <c r="I204" s="160"/>
      <c r="J204" s="161"/>
      <c r="K204" s="17"/>
      <c r="L204" s="18"/>
      <c r="M204" s="14"/>
      <c r="N204" s="14"/>
      <c r="O204" s="159"/>
      <c r="P204" s="163"/>
      <c r="Q204" s="164"/>
    </row>
    <row r="205" spans="1:17" ht="25.5" customHeight="1">
      <c r="A205" s="2">
        <f t="shared" si="3"/>
        <v>200</v>
      </c>
      <c r="B205" s="23"/>
      <c r="C205" s="16"/>
      <c r="D205" s="16"/>
      <c r="E205" s="16"/>
      <c r="F205" s="10"/>
      <c r="G205" s="11"/>
      <c r="H205" s="11"/>
      <c r="I205" s="160"/>
      <c r="J205" s="161"/>
      <c r="K205" s="17"/>
      <c r="L205" s="18"/>
      <c r="M205" s="14"/>
      <c r="N205" s="14"/>
      <c r="O205" s="159"/>
      <c r="P205" s="163"/>
      <c r="Q205" s="164"/>
    </row>
    <row r="206" spans="1:17" ht="25.5" customHeight="1">
      <c r="A206" s="2">
        <f t="shared" si="3"/>
        <v>201</v>
      </c>
      <c r="B206" s="23"/>
      <c r="C206" s="16"/>
      <c r="D206" s="16"/>
      <c r="E206" s="16"/>
      <c r="F206" s="10"/>
      <c r="G206" s="58"/>
      <c r="H206" s="11"/>
      <c r="I206" s="160"/>
      <c r="J206" s="161"/>
      <c r="K206" s="17"/>
      <c r="L206" s="18"/>
      <c r="M206" s="14"/>
      <c r="N206" s="14"/>
      <c r="O206" s="115"/>
      <c r="P206" s="61"/>
      <c r="Q206" s="106"/>
    </row>
    <row r="207" spans="1:17" ht="25.5" customHeight="1">
      <c r="A207" s="2">
        <f t="shared" si="3"/>
        <v>202</v>
      </c>
      <c r="B207" s="23"/>
      <c r="C207" s="16"/>
      <c r="D207" s="16"/>
      <c r="E207" s="16"/>
      <c r="F207" s="10"/>
      <c r="G207" s="58"/>
      <c r="H207" s="11"/>
      <c r="I207" s="160"/>
      <c r="J207" s="161"/>
      <c r="K207" s="17"/>
      <c r="L207" s="18"/>
      <c r="M207" s="14"/>
      <c r="N207" s="14"/>
      <c r="O207" s="115"/>
      <c r="P207" s="61"/>
      <c r="Q207" s="106"/>
    </row>
    <row r="208" spans="1:17" ht="25.5" customHeight="1">
      <c r="A208" s="2">
        <f t="shared" si="3"/>
        <v>203</v>
      </c>
      <c r="B208" s="23"/>
      <c r="C208" s="16"/>
      <c r="D208" s="16"/>
      <c r="E208" s="16"/>
      <c r="F208" s="10"/>
      <c r="G208" s="58"/>
      <c r="H208" s="11"/>
      <c r="I208" s="160"/>
      <c r="J208" s="161"/>
      <c r="K208" s="17"/>
      <c r="L208" s="18"/>
      <c r="M208" s="14"/>
      <c r="N208" s="14"/>
      <c r="O208" s="115"/>
      <c r="P208" s="61"/>
      <c r="Q208" s="213"/>
    </row>
    <row r="209" spans="1:17" ht="25.5" customHeight="1">
      <c r="A209" s="2">
        <f t="shared" si="3"/>
        <v>204</v>
      </c>
      <c r="B209" s="23"/>
      <c r="C209" s="16"/>
      <c r="D209" s="16"/>
      <c r="E209" s="16"/>
      <c r="F209" s="10"/>
      <c r="G209" s="58"/>
      <c r="H209" s="11"/>
      <c r="I209" s="160"/>
      <c r="J209" s="161"/>
      <c r="K209" s="17"/>
      <c r="L209" s="18"/>
      <c r="M209" s="14"/>
      <c r="N209" s="14"/>
      <c r="O209" s="115"/>
      <c r="P209" s="61"/>
      <c r="Q209" s="213"/>
    </row>
    <row r="210" spans="1:17" ht="25.5" customHeight="1">
      <c r="A210" s="2">
        <f t="shared" si="3"/>
        <v>205</v>
      </c>
      <c r="B210" s="23"/>
      <c r="C210" s="16"/>
      <c r="D210" s="16"/>
      <c r="E210" s="16"/>
      <c r="F210" s="10"/>
      <c r="G210" s="58"/>
      <c r="H210" s="11"/>
      <c r="I210" s="160"/>
      <c r="J210" s="161"/>
      <c r="K210" s="17"/>
      <c r="L210" s="18"/>
      <c r="M210" s="14"/>
      <c r="N210" s="14"/>
      <c r="O210" s="115"/>
      <c r="P210" s="61"/>
      <c r="Q210" s="213"/>
    </row>
    <row r="211" spans="1:17" ht="25.5" customHeight="1">
      <c r="A211" s="2">
        <f t="shared" si="3"/>
        <v>206</v>
      </c>
      <c r="B211" s="23"/>
      <c r="C211" s="16"/>
      <c r="D211" s="16"/>
      <c r="E211" s="16"/>
      <c r="F211" s="10"/>
      <c r="G211" s="58"/>
      <c r="H211" s="11"/>
      <c r="I211" s="160"/>
      <c r="J211" s="161"/>
      <c r="K211" s="17"/>
      <c r="L211" s="18"/>
      <c r="M211" s="14"/>
      <c r="N211" s="14"/>
      <c r="O211" s="115"/>
      <c r="P211" s="61"/>
      <c r="Q211" s="213"/>
    </row>
    <row r="212" spans="1:17" ht="25.5" customHeight="1">
      <c r="A212" s="2">
        <f t="shared" si="3"/>
        <v>207</v>
      </c>
      <c r="B212" s="23"/>
      <c r="C212" s="16"/>
      <c r="D212" s="16"/>
      <c r="E212" s="16"/>
      <c r="F212" s="10"/>
      <c r="G212" s="58"/>
      <c r="H212" s="11"/>
      <c r="I212" s="160"/>
      <c r="J212" s="161"/>
      <c r="K212" s="17"/>
      <c r="L212" s="18"/>
      <c r="M212" s="14"/>
      <c r="N212" s="14"/>
      <c r="O212" s="115"/>
      <c r="P212" s="61"/>
      <c r="Q212" s="213"/>
    </row>
    <row r="213" spans="1:17" ht="25.5" customHeight="1">
      <c r="A213" s="2">
        <f t="shared" si="3"/>
        <v>208</v>
      </c>
      <c r="B213" s="23"/>
      <c r="C213" s="16"/>
      <c r="D213" s="16"/>
      <c r="E213" s="16"/>
      <c r="F213" s="10"/>
      <c r="G213" s="58"/>
      <c r="H213" s="11"/>
      <c r="I213" s="160"/>
      <c r="J213" s="161"/>
      <c r="K213" s="17"/>
      <c r="L213" s="18"/>
      <c r="M213" s="14"/>
      <c r="N213" s="14"/>
      <c r="O213" s="115"/>
      <c r="P213" s="61"/>
      <c r="Q213" s="213"/>
    </row>
    <row r="214" spans="1:17" ht="25.5" customHeight="1">
      <c r="A214" s="2">
        <f t="shared" si="3"/>
        <v>209</v>
      </c>
      <c r="B214" s="23"/>
      <c r="C214" s="16"/>
      <c r="D214" s="16"/>
      <c r="E214" s="16"/>
      <c r="F214" s="10"/>
      <c r="G214" s="58"/>
      <c r="H214" s="11"/>
      <c r="I214" s="160"/>
      <c r="J214" s="161"/>
      <c r="K214" s="17"/>
      <c r="L214" s="18"/>
      <c r="M214" s="14"/>
      <c r="N214" s="14"/>
      <c r="O214" s="115"/>
      <c r="P214" s="61"/>
      <c r="Q214" s="213"/>
    </row>
    <row r="215" spans="1:17" ht="25.5" customHeight="1">
      <c r="A215" s="2">
        <f t="shared" si="3"/>
        <v>210</v>
      </c>
      <c r="B215" s="23"/>
      <c r="C215" s="16"/>
      <c r="D215" s="16"/>
      <c r="E215" s="16"/>
      <c r="F215" s="10"/>
      <c r="G215" s="58"/>
      <c r="H215" s="11"/>
      <c r="I215" s="160"/>
      <c r="J215" s="161"/>
      <c r="K215" s="17"/>
      <c r="L215" s="18"/>
      <c r="M215" s="14"/>
      <c r="N215" s="14"/>
      <c r="O215" s="115"/>
      <c r="P215" s="61"/>
      <c r="Q215" s="213"/>
    </row>
    <row r="216" spans="1:17" ht="25.5" customHeight="1">
      <c r="A216" s="2">
        <f t="shared" si="3"/>
        <v>211</v>
      </c>
      <c r="B216" s="23"/>
      <c r="C216" s="16"/>
      <c r="D216" s="16"/>
      <c r="E216" s="16"/>
      <c r="F216" s="10"/>
      <c r="G216" s="58"/>
      <c r="H216" s="11"/>
      <c r="I216" s="160"/>
      <c r="J216" s="161"/>
      <c r="K216" s="17"/>
      <c r="L216" s="18"/>
      <c r="M216" s="14"/>
      <c r="N216" s="14"/>
      <c r="O216" s="115"/>
      <c r="P216" s="61"/>
      <c r="Q216" s="213"/>
    </row>
    <row r="217" spans="1:17" ht="25.5" customHeight="1">
      <c r="A217" s="2">
        <f t="shared" si="3"/>
        <v>212</v>
      </c>
      <c r="B217" s="23"/>
      <c r="C217" s="16"/>
      <c r="D217" s="16"/>
      <c r="E217" s="16"/>
      <c r="F217" s="10"/>
      <c r="G217" s="58"/>
      <c r="H217" s="11"/>
      <c r="I217" s="160"/>
      <c r="J217" s="161"/>
      <c r="K217" s="17"/>
      <c r="L217" s="18"/>
      <c r="M217" s="14"/>
      <c r="N217" s="14"/>
      <c r="O217" s="115"/>
      <c r="P217" s="61"/>
      <c r="Q217" s="213"/>
    </row>
    <row r="218" spans="1:17" ht="25.5" customHeight="1">
      <c r="A218" s="2">
        <f t="shared" si="3"/>
        <v>213</v>
      </c>
      <c r="B218" s="23"/>
      <c r="C218" s="16"/>
      <c r="D218" s="16"/>
      <c r="E218" s="16"/>
      <c r="F218" s="10"/>
      <c r="G218" s="58"/>
      <c r="H218" s="11"/>
      <c r="I218" s="160"/>
      <c r="J218" s="161"/>
      <c r="K218" s="17"/>
      <c r="L218" s="18"/>
      <c r="M218" s="14"/>
      <c r="N218" s="14"/>
      <c r="O218" s="115"/>
      <c r="P218" s="61"/>
      <c r="Q218" s="213"/>
    </row>
    <row r="219" spans="1:17" ht="25.5" customHeight="1">
      <c r="A219" s="2">
        <f t="shared" si="3"/>
        <v>214</v>
      </c>
      <c r="B219" s="23"/>
      <c r="C219" s="16"/>
      <c r="D219" s="16"/>
      <c r="E219" s="16"/>
      <c r="F219" s="10"/>
      <c r="G219" s="58"/>
      <c r="H219" s="11"/>
      <c r="I219" s="160"/>
      <c r="J219" s="161"/>
      <c r="K219" s="17"/>
      <c r="L219" s="18"/>
      <c r="M219" s="14"/>
      <c r="N219" s="14"/>
      <c r="O219" s="115"/>
      <c r="P219" s="61"/>
      <c r="Q219" s="213"/>
    </row>
    <row r="220" spans="1:17" ht="25.5" customHeight="1">
      <c r="A220" s="2">
        <f t="shared" si="3"/>
        <v>215</v>
      </c>
      <c r="B220" s="23"/>
      <c r="C220" s="16"/>
      <c r="D220" s="16"/>
      <c r="E220" s="16"/>
      <c r="F220" s="10"/>
      <c r="G220" s="58"/>
      <c r="H220" s="11"/>
      <c r="I220" s="160"/>
      <c r="J220" s="161"/>
      <c r="K220" s="17"/>
      <c r="L220" s="18"/>
      <c r="M220" s="14"/>
      <c r="N220" s="14"/>
      <c r="O220" s="115"/>
      <c r="P220" s="61"/>
      <c r="Q220" s="213"/>
    </row>
    <row r="221" spans="1:17" ht="25.5" customHeight="1">
      <c r="A221" s="2">
        <f t="shared" si="3"/>
        <v>216</v>
      </c>
      <c r="B221" s="23"/>
      <c r="C221" s="16"/>
      <c r="D221" s="16"/>
      <c r="E221" s="16"/>
      <c r="F221" s="10"/>
      <c r="G221" s="58"/>
      <c r="H221" s="11"/>
      <c r="I221" s="160"/>
      <c r="J221" s="161"/>
      <c r="K221" s="17"/>
      <c r="L221" s="18"/>
      <c r="M221" s="14"/>
      <c r="N221" s="14"/>
      <c r="O221" s="115"/>
      <c r="P221" s="61"/>
      <c r="Q221" s="213"/>
    </row>
    <row r="222" spans="1:17" ht="25.5" customHeight="1">
      <c r="A222" s="2">
        <f t="shared" si="3"/>
        <v>217</v>
      </c>
      <c r="B222" s="23"/>
      <c r="C222" s="16"/>
      <c r="D222" s="16"/>
      <c r="E222" s="16"/>
      <c r="F222" s="10"/>
      <c r="G222" s="58"/>
      <c r="H222" s="11"/>
      <c r="I222" s="160"/>
      <c r="J222" s="161"/>
      <c r="K222" s="17"/>
      <c r="L222" s="18"/>
      <c r="M222" s="14"/>
      <c r="N222" s="14"/>
      <c r="O222" s="115"/>
      <c r="P222" s="61"/>
      <c r="Q222" s="213"/>
    </row>
    <row r="223" spans="1:17" ht="25.5" customHeight="1">
      <c r="A223" s="2">
        <f t="shared" si="3"/>
        <v>218</v>
      </c>
      <c r="B223" s="23"/>
      <c r="C223" s="16"/>
      <c r="D223" s="16"/>
      <c r="E223" s="16"/>
      <c r="F223" s="10"/>
      <c r="G223" s="58"/>
      <c r="H223" s="11"/>
      <c r="I223" s="160"/>
      <c r="J223" s="161"/>
      <c r="K223" s="17"/>
      <c r="L223" s="18"/>
      <c r="M223" s="14"/>
      <c r="N223" s="14"/>
      <c r="O223" s="115"/>
      <c r="P223" s="61"/>
      <c r="Q223" s="213"/>
    </row>
    <row r="224" spans="1:17" ht="25.5" customHeight="1">
      <c r="A224" s="2">
        <f t="shared" si="3"/>
        <v>219</v>
      </c>
      <c r="B224" s="23"/>
      <c r="C224" s="16"/>
      <c r="D224" s="16"/>
      <c r="E224" s="16"/>
      <c r="F224" s="10"/>
      <c r="G224" s="58"/>
      <c r="H224" s="11"/>
      <c r="I224" s="160"/>
      <c r="J224" s="161"/>
      <c r="K224" s="17"/>
      <c r="L224" s="18"/>
      <c r="M224" s="14"/>
      <c r="N224" s="14"/>
      <c r="O224" s="115"/>
      <c r="P224" s="61"/>
      <c r="Q224" s="213"/>
    </row>
    <row r="225" spans="1:17" ht="25.5" customHeight="1">
      <c r="A225" s="2">
        <f t="shared" si="3"/>
        <v>220</v>
      </c>
      <c r="B225" s="23"/>
      <c r="C225" s="16"/>
      <c r="D225" s="16"/>
      <c r="E225" s="16"/>
      <c r="F225" s="10"/>
      <c r="G225" s="58"/>
      <c r="H225" s="11"/>
      <c r="I225" s="160"/>
      <c r="J225" s="161"/>
      <c r="K225" s="17"/>
      <c r="L225" s="18"/>
      <c r="M225" s="14"/>
      <c r="N225" s="14"/>
      <c r="O225" s="115"/>
      <c r="P225" s="61"/>
      <c r="Q225" s="213"/>
    </row>
    <row r="226" spans="1:17" ht="25.5" customHeight="1">
      <c r="A226" s="2">
        <f t="shared" si="3"/>
        <v>221</v>
      </c>
      <c r="B226" s="23"/>
      <c r="C226" s="16"/>
      <c r="D226" s="16"/>
      <c r="E226" s="16"/>
      <c r="F226" s="10"/>
      <c r="G226" s="58"/>
      <c r="H226" s="11"/>
      <c r="I226" s="160"/>
      <c r="J226" s="161"/>
      <c r="K226" s="17"/>
      <c r="L226" s="18"/>
      <c r="M226" s="14"/>
      <c r="N226" s="14"/>
      <c r="O226" s="115"/>
      <c r="P226" s="61"/>
      <c r="Q226" s="213"/>
    </row>
    <row r="227" spans="1:17" ht="25.5" customHeight="1">
      <c r="A227" s="2">
        <f t="shared" si="3"/>
        <v>222</v>
      </c>
      <c r="B227" s="23"/>
      <c r="C227" s="16"/>
      <c r="D227" s="16"/>
      <c r="E227" s="16"/>
      <c r="F227" s="10"/>
      <c r="G227" s="58"/>
      <c r="H227" s="11"/>
      <c r="I227" s="160"/>
      <c r="J227" s="161"/>
      <c r="K227" s="17"/>
      <c r="L227" s="18"/>
      <c r="M227" s="14"/>
      <c r="N227" s="14"/>
      <c r="O227" s="115"/>
      <c r="P227" s="61"/>
      <c r="Q227" s="213"/>
    </row>
    <row r="228" spans="1:17" ht="25.5" customHeight="1">
      <c r="A228" s="2">
        <f t="shared" si="3"/>
        <v>223</v>
      </c>
      <c r="B228" s="23"/>
      <c r="C228" s="16"/>
      <c r="D228" s="16"/>
      <c r="E228" s="16"/>
      <c r="F228" s="10"/>
      <c r="G228" s="58"/>
      <c r="H228" s="11"/>
      <c r="I228" s="160"/>
      <c r="J228" s="161"/>
      <c r="K228" s="17"/>
      <c r="L228" s="18"/>
      <c r="M228" s="14"/>
      <c r="N228" s="14"/>
      <c r="O228" s="115"/>
      <c r="P228" s="61"/>
      <c r="Q228" s="213"/>
    </row>
    <row r="229" spans="1:17" ht="25.5" customHeight="1">
      <c r="A229" s="2">
        <f t="shared" si="3"/>
        <v>224</v>
      </c>
      <c r="B229" s="23"/>
      <c r="C229" s="16"/>
      <c r="D229" s="16"/>
      <c r="E229" s="16"/>
      <c r="F229" s="10"/>
      <c r="G229" s="58"/>
      <c r="H229" s="11"/>
      <c r="I229" s="160"/>
      <c r="J229" s="161"/>
      <c r="K229" s="17"/>
      <c r="L229" s="18"/>
      <c r="M229" s="14"/>
      <c r="N229" s="14"/>
      <c r="O229" s="115"/>
      <c r="P229" s="61"/>
      <c r="Q229" s="213"/>
    </row>
    <row r="230" spans="1:17" ht="25.5" customHeight="1">
      <c r="A230" s="2">
        <f t="shared" si="3"/>
        <v>225</v>
      </c>
      <c r="B230" s="23"/>
      <c r="C230" s="16"/>
      <c r="D230" s="16"/>
      <c r="E230" s="16"/>
      <c r="F230" s="10"/>
      <c r="G230" s="58"/>
      <c r="H230" s="11"/>
      <c r="I230" s="160"/>
      <c r="J230" s="161"/>
      <c r="K230" s="17"/>
      <c r="L230" s="18"/>
      <c r="M230" s="14"/>
      <c r="N230" s="14"/>
      <c r="O230" s="115"/>
      <c r="P230" s="61"/>
      <c r="Q230" s="213"/>
    </row>
    <row r="231" spans="1:17" ht="25.5" customHeight="1">
      <c r="A231" s="2">
        <f t="shared" si="3"/>
        <v>226</v>
      </c>
      <c r="B231" s="23"/>
      <c r="C231" s="16"/>
      <c r="D231" s="16"/>
      <c r="E231" s="16"/>
      <c r="F231" s="10"/>
      <c r="G231" s="58"/>
      <c r="H231" s="11"/>
      <c r="I231" s="160"/>
      <c r="J231" s="161"/>
      <c r="K231" s="17"/>
      <c r="L231" s="18"/>
      <c r="M231" s="14"/>
      <c r="N231" s="14"/>
      <c r="O231" s="115"/>
      <c r="P231" s="61"/>
      <c r="Q231" s="213"/>
    </row>
    <row r="232" spans="1:17" ht="25.5" customHeight="1">
      <c r="A232" s="2">
        <f t="shared" si="3"/>
        <v>227</v>
      </c>
      <c r="B232" s="23"/>
      <c r="C232" s="16"/>
      <c r="D232" s="16"/>
      <c r="E232" s="16"/>
      <c r="F232" s="10"/>
      <c r="G232" s="58"/>
      <c r="H232" s="11"/>
      <c r="I232" s="160"/>
      <c r="J232" s="161"/>
      <c r="K232" s="17"/>
      <c r="L232" s="18"/>
      <c r="M232" s="14"/>
      <c r="N232" s="14"/>
      <c r="O232" s="115"/>
      <c r="P232" s="61"/>
      <c r="Q232" s="106"/>
    </row>
    <row r="233" spans="1:17" ht="25.5" customHeight="1">
      <c r="A233" s="2">
        <f t="shared" si="3"/>
        <v>228</v>
      </c>
      <c r="B233" s="23"/>
      <c r="C233" s="16"/>
      <c r="D233" s="16"/>
      <c r="E233" s="16"/>
      <c r="F233" s="10"/>
      <c r="G233" s="58"/>
      <c r="H233" s="11"/>
      <c r="I233" s="160"/>
      <c r="J233" s="161"/>
      <c r="K233" s="17"/>
      <c r="L233" s="18"/>
      <c r="M233" s="14"/>
      <c r="N233" s="14"/>
      <c r="O233" s="115"/>
      <c r="P233" s="61"/>
      <c r="Q233" s="213"/>
    </row>
    <row r="234" spans="1:17" ht="25.5" customHeight="1">
      <c r="A234" s="2">
        <f t="shared" si="3"/>
        <v>229</v>
      </c>
      <c r="B234" s="23"/>
      <c r="C234" s="16"/>
      <c r="D234" s="16"/>
      <c r="E234" s="16"/>
      <c r="F234" s="10"/>
      <c r="G234" s="58"/>
      <c r="H234" s="11"/>
      <c r="I234" s="160"/>
      <c r="J234" s="161"/>
      <c r="K234" s="17"/>
      <c r="L234" s="18"/>
      <c r="M234" s="14"/>
      <c r="N234" s="14"/>
      <c r="O234" s="115"/>
      <c r="P234" s="61"/>
      <c r="Q234" s="213"/>
    </row>
    <row r="235" spans="1:17" ht="25.5" customHeight="1">
      <c r="A235" s="2">
        <f t="shared" si="3"/>
        <v>230</v>
      </c>
      <c r="B235" s="23"/>
      <c r="C235" s="16"/>
      <c r="D235" s="16"/>
      <c r="E235" s="16"/>
      <c r="F235" s="10"/>
      <c r="G235" s="58"/>
      <c r="H235" s="11"/>
      <c r="I235" s="160"/>
      <c r="J235" s="161"/>
      <c r="K235" s="17"/>
      <c r="L235" s="18"/>
      <c r="M235" s="14"/>
      <c r="N235" s="14"/>
      <c r="O235" s="115"/>
      <c r="P235" s="61"/>
      <c r="Q235" s="213"/>
    </row>
    <row r="236" spans="1:17" ht="25.5" customHeight="1">
      <c r="A236" s="2">
        <f t="shared" si="3"/>
        <v>231</v>
      </c>
      <c r="B236" s="23"/>
      <c r="C236" s="16"/>
      <c r="D236" s="16"/>
      <c r="E236" s="16"/>
      <c r="F236" s="10"/>
      <c r="G236" s="58"/>
      <c r="H236" s="11"/>
      <c r="I236" s="160"/>
      <c r="J236" s="161"/>
      <c r="K236" s="17"/>
      <c r="L236" s="18"/>
      <c r="M236" s="14"/>
      <c r="N236" s="14"/>
      <c r="O236" s="115"/>
      <c r="P236" s="61"/>
      <c r="Q236" s="213"/>
    </row>
    <row r="237" spans="1:17" ht="25.5" customHeight="1">
      <c r="A237" s="2">
        <f t="shared" si="3"/>
        <v>232</v>
      </c>
      <c r="B237" s="23"/>
      <c r="C237" s="16"/>
      <c r="D237" s="16"/>
      <c r="E237" s="16"/>
      <c r="F237" s="10"/>
      <c r="G237" s="58"/>
      <c r="H237" s="11"/>
      <c r="I237" s="160"/>
      <c r="J237" s="161"/>
      <c r="K237" s="17"/>
      <c r="L237" s="18"/>
      <c r="M237" s="14"/>
      <c r="N237" s="14"/>
      <c r="O237" s="115"/>
      <c r="P237" s="61"/>
      <c r="Q237" s="213"/>
    </row>
    <row r="238" spans="1:17" ht="25.5" customHeight="1">
      <c r="A238" s="2">
        <f t="shared" si="3"/>
        <v>233</v>
      </c>
      <c r="B238" s="23"/>
      <c r="C238" s="16"/>
      <c r="D238" s="16"/>
      <c r="E238" s="16"/>
      <c r="F238" s="10"/>
      <c r="G238" s="58"/>
      <c r="H238" s="11"/>
      <c r="I238" s="160"/>
      <c r="J238" s="161"/>
      <c r="K238" s="17"/>
      <c r="L238" s="18"/>
      <c r="M238" s="14"/>
      <c r="N238" s="14"/>
      <c r="O238" s="115"/>
      <c r="P238" s="61"/>
      <c r="Q238" s="213"/>
    </row>
    <row r="239" spans="1:17" ht="25.5" customHeight="1">
      <c r="A239" s="2">
        <f t="shared" si="3"/>
        <v>234</v>
      </c>
      <c r="B239" s="23"/>
      <c r="C239" s="16"/>
      <c r="D239" s="16"/>
      <c r="E239" s="16"/>
      <c r="F239" s="10"/>
      <c r="G239" s="58"/>
      <c r="H239" s="11"/>
      <c r="I239" s="160"/>
      <c r="J239" s="161"/>
      <c r="K239" s="17"/>
      <c r="L239" s="18"/>
      <c r="M239" s="14"/>
      <c r="N239" s="14"/>
      <c r="O239" s="115"/>
      <c r="P239" s="61"/>
      <c r="Q239" s="213"/>
    </row>
    <row r="240" spans="1:17" ht="25.5" customHeight="1">
      <c r="A240" s="2">
        <f t="shared" si="3"/>
        <v>235</v>
      </c>
      <c r="B240" s="23"/>
      <c r="C240" s="16"/>
      <c r="D240" s="16"/>
      <c r="E240" s="16"/>
      <c r="F240" s="10"/>
      <c r="G240" s="58"/>
      <c r="H240" s="11"/>
      <c r="I240" s="160"/>
      <c r="J240" s="161"/>
      <c r="K240" s="17"/>
      <c r="L240" s="18"/>
      <c r="M240" s="14"/>
      <c r="N240" s="14"/>
      <c r="O240" s="115"/>
      <c r="P240" s="61"/>
      <c r="Q240" s="213"/>
    </row>
    <row r="241" spans="1:17" ht="25.5" customHeight="1">
      <c r="A241" s="2">
        <f t="shared" si="3"/>
        <v>236</v>
      </c>
      <c r="B241" s="23"/>
      <c r="C241" s="16"/>
      <c r="D241" s="16"/>
      <c r="E241" s="16"/>
      <c r="F241" s="10"/>
      <c r="G241" s="58"/>
      <c r="H241" s="11"/>
      <c r="I241" s="160"/>
      <c r="J241" s="161"/>
      <c r="K241" s="17"/>
      <c r="L241" s="18"/>
      <c r="M241" s="14"/>
      <c r="N241" s="14"/>
      <c r="O241" s="115"/>
      <c r="P241" s="61"/>
      <c r="Q241" s="213"/>
    </row>
    <row r="242" spans="1:17" ht="25.5" customHeight="1">
      <c r="A242" s="2">
        <f t="shared" si="3"/>
        <v>237</v>
      </c>
      <c r="B242" s="23"/>
      <c r="C242" s="16"/>
      <c r="D242" s="16"/>
      <c r="E242" s="16"/>
      <c r="F242" s="10"/>
      <c r="G242" s="58"/>
      <c r="H242" s="11"/>
      <c r="I242" s="160"/>
      <c r="J242" s="161"/>
      <c r="K242" s="17"/>
      <c r="L242" s="18"/>
      <c r="M242" s="14"/>
      <c r="N242" s="14"/>
      <c r="O242" s="115"/>
      <c r="P242" s="61"/>
      <c r="Q242" s="213"/>
    </row>
    <row r="243" spans="1:17" ht="25.5" customHeight="1">
      <c r="A243" s="2">
        <f t="shared" si="3"/>
        <v>238</v>
      </c>
      <c r="B243" s="23"/>
      <c r="C243" s="16"/>
      <c r="D243" s="16"/>
      <c r="E243" s="16"/>
      <c r="F243" s="10"/>
      <c r="G243" s="58"/>
      <c r="H243" s="11"/>
      <c r="I243" s="160"/>
      <c r="J243" s="161"/>
      <c r="K243" s="17"/>
      <c r="L243" s="18"/>
      <c r="M243" s="14"/>
      <c r="N243" s="14"/>
      <c r="O243" s="115"/>
      <c r="P243" s="61"/>
      <c r="Q243" s="213"/>
    </row>
    <row r="244" spans="1:17" ht="25.5" customHeight="1">
      <c r="A244" s="2">
        <f t="shared" si="3"/>
        <v>239</v>
      </c>
      <c r="B244" s="23"/>
      <c r="C244" s="16"/>
      <c r="D244" s="16"/>
      <c r="E244" s="16"/>
      <c r="F244" s="10"/>
      <c r="G244" s="58"/>
      <c r="H244" s="11"/>
      <c r="I244" s="160"/>
      <c r="J244" s="161"/>
      <c r="K244" s="17"/>
      <c r="L244" s="18"/>
      <c r="M244" s="14"/>
      <c r="N244" s="14"/>
      <c r="O244" s="115"/>
      <c r="P244" s="61"/>
      <c r="Q244" s="213"/>
    </row>
    <row r="245" spans="1:17" ht="25.5" customHeight="1">
      <c r="A245" s="2">
        <f t="shared" si="3"/>
        <v>240</v>
      </c>
      <c r="B245" s="23"/>
      <c r="C245" s="16"/>
      <c r="D245" s="16"/>
      <c r="E245" s="16"/>
      <c r="F245" s="10"/>
      <c r="G245" s="58"/>
      <c r="H245" s="11"/>
      <c r="I245" s="160"/>
      <c r="J245" s="161"/>
      <c r="K245" s="17"/>
      <c r="L245" s="18"/>
      <c r="M245" s="14"/>
      <c r="N245" s="14"/>
      <c r="O245" s="115"/>
      <c r="P245" s="61"/>
      <c r="Q245" s="213"/>
    </row>
    <row r="246" spans="1:17" ht="25.5" customHeight="1">
      <c r="A246" s="2">
        <f t="shared" si="3"/>
        <v>241</v>
      </c>
      <c r="B246" s="23"/>
      <c r="C246" s="16"/>
      <c r="D246" s="16"/>
      <c r="E246" s="16"/>
      <c r="F246" s="10"/>
      <c r="G246" s="58"/>
      <c r="H246" s="11"/>
      <c r="I246" s="160"/>
      <c r="J246" s="161"/>
      <c r="K246" s="17"/>
      <c r="L246" s="18"/>
      <c r="M246" s="14"/>
      <c r="N246" s="14"/>
      <c r="O246" s="115"/>
      <c r="P246" s="61"/>
      <c r="Q246" s="213"/>
    </row>
    <row r="247" spans="1:17" ht="25.5" customHeight="1">
      <c r="A247" s="2">
        <f t="shared" si="3"/>
        <v>242</v>
      </c>
      <c r="B247" s="23"/>
      <c r="C247" s="16"/>
      <c r="D247" s="16"/>
      <c r="E247" s="16"/>
      <c r="F247" s="10"/>
      <c r="G247" s="58"/>
      <c r="H247" s="11"/>
      <c r="I247" s="160"/>
      <c r="J247" s="161"/>
      <c r="K247" s="17"/>
      <c r="L247" s="18"/>
      <c r="M247" s="14"/>
      <c r="N247" s="14"/>
      <c r="O247" s="115"/>
      <c r="P247" s="61"/>
      <c r="Q247" s="213"/>
    </row>
    <row r="248" spans="1:17" ht="25.5" customHeight="1">
      <c r="A248" s="2">
        <f t="shared" si="3"/>
        <v>243</v>
      </c>
      <c r="B248" s="23"/>
      <c r="C248" s="16"/>
      <c r="D248" s="16"/>
      <c r="E248" s="16"/>
      <c r="F248" s="10"/>
      <c r="G248" s="58"/>
      <c r="H248" s="11"/>
      <c r="I248" s="160"/>
      <c r="J248" s="161"/>
      <c r="K248" s="17"/>
      <c r="L248" s="18"/>
      <c r="M248" s="14"/>
      <c r="N248" s="14"/>
      <c r="O248" s="115"/>
      <c r="P248" s="61"/>
      <c r="Q248" s="213"/>
    </row>
    <row r="249" spans="1:17" ht="25.5" customHeight="1">
      <c r="A249" s="2">
        <f t="shared" si="3"/>
        <v>244</v>
      </c>
      <c r="B249" s="23"/>
      <c r="C249" s="16"/>
      <c r="D249" s="16"/>
      <c r="E249" s="16"/>
      <c r="F249" s="10"/>
      <c r="G249" s="58"/>
      <c r="H249" s="11"/>
      <c r="I249" s="160"/>
      <c r="J249" s="161"/>
      <c r="K249" s="17"/>
      <c r="L249" s="18"/>
      <c r="M249" s="14"/>
      <c r="N249" s="14"/>
      <c r="O249" s="115"/>
      <c r="P249" s="61"/>
      <c r="Q249" s="213"/>
    </row>
    <row r="250" spans="1:17" ht="25.5" customHeight="1">
      <c r="A250" s="2">
        <f t="shared" si="3"/>
        <v>245</v>
      </c>
      <c r="B250" s="23"/>
      <c r="C250" s="16"/>
      <c r="D250" s="16"/>
      <c r="E250" s="16"/>
      <c r="F250" s="10"/>
      <c r="G250" s="58"/>
      <c r="H250" s="11"/>
      <c r="I250" s="160"/>
      <c r="J250" s="161"/>
      <c r="K250" s="17"/>
      <c r="L250" s="18"/>
      <c r="M250" s="14"/>
      <c r="N250" s="14"/>
      <c r="O250" s="115"/>
      <c r="P250" s="61"/>
      <c r="Q250" s="213"/>
    </row>
    <row r="251" spans="1:17" ht="25.5" customHeight="1">
      <c r="A251" s="2">
        <f t="shared" si="3"/>
        <v>246</v>
      </c>
      <c r="B251" s="23"/>
      <c r="C251" s="16"/>
      <c r="D251" s="16"/>
      <c r="E251" s="16"/>
      <c r="F251" s="10"/>
      <c r="G251" s="58"/>
      <c r="H251" s="11"/>
      <c r="I251" s="160"/>
      <c r="J251" s="161"/>
      <c r="K251" s="17"/>
      <c r="L251" s="18"/>
      <c r="M251" s="14"/>
      <c r="N251" s="14"/>
      <c r="O251" s="115"/>
      <c r="P251" s="61"/>
      <c r="Q251" s="213"/>
    </row>
    <row r="252" spans="1:17" ht="25.5" customHeight="1">
      <c r="A252" s="2">
        <f t="shared" si="3"/>
        <v>247</v>
      </c>
      <c r="B252" s="23"/>
      <c r="C252" s="16"/>
      <c r="D252" s="16"/>
      <c r="E252" s="16"/>
      <c r="F252" s="10"/>
      <c r="G252" s="58"/>
      <c r="H252" s="11"/>
      <c r="I252" s="160"/>
      <c r="J252" s="161"/>
      <c r="K252" s="17"/>
      <c r="L252" s="18"/>
      <c r="M252" s="14"/>
      <c r="N252" s="14"/>
      <c r="O252" s="115"/>
      <c r="P252" s="61"/>
      <c r="Q252" s="213"/>
    </row>
    <row r="253" spans="1:17" ht="25.5" customHeight="1">
      <c r="A253" s="2">
        <f t="shared" si="3"/>
        <v>248</v>
      </c>
      <c r="B253" s="23"/>
      <c r="C253" s="16"/>
      <c r="D253" s="16"/>
      <c r="E253" s="16"/>
      <c r="F253" s="10"/>
      <c r="G253" s="58"/>
      <c r="H253" s="11"/>
      <c r="I253" s="160"/>
      <c r="J253" s="161"/>
      <c r="K253" s="17"/>
      <c r="L253" s="18"/>
      <c r="M253" s="14"/>
      <c r="N253" s="14"/>
      <c r="O253" s="115"/>
      <c r="P253" s="61"/>
      <c r="Q253" s="213"/>
    </row>
    <row r="254" spans="1:17" ht="25.5" customHeight="1">
      <c r="A254" s="2">
        <f t="shared" si="3"/>
        <v>249</v>
      </c>
      <c r="B254" s="23"/>
      <c r="C254" s="16"/>
      <c r="D254" s="16"/>
      <c r="E254" s="16"/>
      <c r="F254" s="10"/>
      <c r="G254" s="58"/>
      <c r="H254" s="11"/>
      <c r="I254" s="160"/>
      <c r="J254" s="161"/>
      <c r="K254" s="17"/>
      <c r="L254" s="18"/>
      <c r="M254" s="14"/>
      <c r="N254" s="14"/>
      <c r="O254" s="115"/>
      <c r="P254" s="61"/>
      <c r="Q254" s="213"/>
    </row>
    <row r="255" spans="1:17" ht="25.5" customHeight="1">
      <c r="A255" s="2">
        <f t="shared" si="3"/>
        <v>250</v>
      </c>
      <c r="B255" s="23"/>
      <c r="C255" s="16"/>
      <c r="D255" s="16"/>
      <c r="E255" s="16"/>
      <c r="F255" s="10"/>
      <c r="G255" s="58"/>
      <c r="H255" s="11"/>
      <c r="I255" s="160"/>
      <c r="J255" s="161"/>
      <c r="K255" s="17"/>
      <c r="L255" s="18"/>
      <c r="M255" s="14"/>
      <c r="N255" s="14"/>
      <c r="O255" s="115"/>
      <c r="P255" s="61"/>
      <c r="Q255" s="213"/>
    </row>
    <row r="256" spans="1:17" ht="25.5" customHeight="1">
      <c r="A256" s="2">
        <f t="shared" si="3"/>
        <v>251</v>
      </c>
      <c r="B256" s="23"/>
      <c r="C256" s="16"/>
      <c r="D256" s="16"/>
      <c r="E256" s="16"/>
      <c r="F256" s="10"/>
      <c r="G256" s="58"/>
      <c r="H256" s="11"/>
      <c r="I256" s="160"/>
      <c r="J256" s="161"/>
      <c r="K256" s="17"/>
      <c r="L256" s="18"/>
      <c r="M256" s="14"/>
      <c r="N256" s="14"/>
      <c r="O256" s="115"/>
      <c r="P256" s="61"/>
      <c r="Q256" s="213"/>
    </row>
    <row r="257" spans="1:17" ht="25.5" customHeight="1">
      <c r="A257" s="2">
        <f t="shared" si="3"/>
        <v>252</v>
      </c>
      <c r="B257" s="23"/>
      <c r="C257" s="16"/>
      <c r="D257" s="16"/>
      <c r="E257" s="16"/>
      <c r="F257" s="10"/>
      <c r="G257" s="58"/>
      <c r="H257" s="11"/>
      <c r="I257" s="160"/>
      <c r="J257" s="161"/>
      <c r="K257" s="17"/>
      <c r="L257" s="18"/>
      <c r="M257" s="14"/>
      <c r="N257" s="14"/>
      <c r="O257" s="115"/>
      <c r="P257" s="61"/>
      <c r="Q257" s="213"/>
    </row>
    <row r="258" spans="1:17" ht="25.5" customHeight="1">
      <c r="A258" s="2">
        <f t="shared" si="3"/>
        <v>253</v>
      </c>
      <c r="B258" s="23"/>
      <c r="C258" s="16"/>
      <c r="D258" s="16"/>
      <c r="E258" s="16"/>
      <c r="F258" s="10"/>
      <c r="G258" s="58"/>
      <c r="H258" s="11"/>
      <c r="I258" s="160"/>
      <c r="J258" s="161"/>
      <c r="K258" s="17"/>
      <c r="L258" s="18"/>
      <c r="M258" s="14"/>
      <c r="N258" s="14"/>
      <c r="O258" s="115"/>
      <c r="P258" s="61"/>
      <c r="Q258" s="213"/>
    </row>
    <row r="259" spans="1:17" ht="25.5" customHeight="1">
      <c r="A259" s="2">
        <f t="shared" si="3"/>
        <v>254</v>
      </c>
      <c r="B259" s="23"/>
      <c r="C259" s="16"/>
      <c r="D259" s="16"/>
      <c r="E259" s="16"/>
      <c r="F259" s="10"/>
      <c r="G259" s="58"/>
      <c r="H259" s="11"/>
      <c r="I259" s="160"/>
      <c r="J259" s="161"/>
      <c r="K259" s="17"/>
      <c r="L259" s="18"/>
      <c r="M259" s="14"/>
      <c r="N259" s="14"/>
      <c r="O259" s="115"/>
      <c r="P259" s="61"/>
      <c r="Q259" s="213"/>
    </row>
    <row r="260" spans="1:17" ht="25.5" customHeight="1">
      <c r="A260" s="2">
        <f t="shared" si="3"/>
        <v>255</v>
      </c>
      <c r="B260" s="23"/>
      <c r="C260" s="16"/>
      <c r="D260" s="16"/>
      <c r="E260" s="16"/>
      <c r="F260" s="10"/>
      <c r="G260" s="58"/>
      <c r="H260" s="11"/>
      <c r="I260" s="160"/>
      <c r="J260" s="161"/>
      <c r="K260" s="17"/>
      <c r="L260" s="18"/>
      <c r="M260" s="14"/>
      <c r="N260" s="14"/>
      <c r="O260" s="115"/>
      <c r="P260" s="61"/>
      <c r="Q260" s="213"/>
    </row>
    <row r="261" spans="1:17" ht="25.5" customHeight="1">
      <c r="A261" s="2">
        <f t="shared" si="3"/>
        <v>256</v>
      </c>
      <c r="B261" s="23"/>
      <c r="C261" s="16"/>
      <c r="D261" s="16"/>
      <c r="E261" s="16"/>
      <c r="F261" s="10"/>
      <c r="G261" s="58"/>
      <c r="H261" s="11"/>
      <c r="I261" s="160"/>
      <c r="J261" s="161"/>
      <c r="K261" s="17"/>
      <c r="L261" s="18"/>
      <c r="M261" s="14"/>
      <c r="N261" s="14"/>
      <c r="O261" s="115"/>
      <c r="P261" s="61"/>
      <c r="Q261" s="213"/>
    </row>
    <row r="262" spans="1:17" ht="25.5" customHeight="1">
      <c r="A262" s="2">
        <f aca="true" t="shared" si="4" ref="A262:A305">ROW($A262:$IV262)-5</f>
        <v>257</v>
      </c>
      <c r="B262" s="23"/>
      <c r="C262" s="16"/>
      <c r="D262" s="16"/>
      <c r="E262" s="16"/>
      <c r="F262" s="10"/>
      <c r="G262" s="58"/>
      <c r="H262" s="11"/>
      <c r="I262" s="160"/>
      <c r="J262" s="161"/>
      <c r="K262" s="17"/>
      <c r="L262" s="18"/>
      <c r="M262" s="14"/>
      <c r="N262" s="14"/>
      <c r="O262" s="115"/>
      <c r="P262" s="61"/>
      <c r="Q262" s="213"/>
    </row>
    <row r="263" spans="1:17" ht="25.5" customHeight="1">
      <c r="A263" s="2">
        <f t="shared" si="4"/>
        <v>258</v>
      </c>
      <c r="B263" s="23"/>
      <c r="C263" s="16"/>
      <c r="D263" s="16"/>
      <c r="E263" s="16"/>
      <c r="F263" s="10"/>
      <c r="G263" s="58"/>
      <c r="H263" s="11"/>
      <c r="I263" s="160"/>
      <c r="J263" s="161"/>
      <c r="K263" s="17"/>
      <c r="L263" s="18"/>
      <c r="M263" s="14"/>
      <c r="N263" s="14"/>
      <c r="O263" s="115"/>
      <c r="P263" s="61"/>
      <c r="Q263" s="213"/>
    </row>
    <row r="264" spans="1:17" ht="25.5" customHeight="1">
      <c r="A264" s="2">
        <f t="shared" si="4"/>
        <v>259</v>
      </c>
      <c r="B264" s="23"/>
      <c r="C264" s="16"/>
      <c r="D264" s="16"/>
      <c r="E264" s="16"/>
      <c r="F264" s="10"/>
      <c r="G264" s="58"/>
      <c r="H264" s="11"/>
      <c r="I264" s="160"/>
      <c r="J264" s="161"/>
      <c r="K264" s="17"/>
      <c r="L264" s="18"/>
      <c r="M264" s="14"/>
      <c r="N264" s="14"/>
      <c r="O264" s="115"/>
      <c r="P264" s="61"/>
      <c r="Q264" s="213"/>
    </row>
    <row r="265" spans="1:17" ht="25.5" customHeight="1">
      <c r="A265" s="2">
        <f t="shared" si="4"/>
        <v>260</v>
      </c>
      <c r="B265" s="23"/>
      <c r="C265" s="16"/>
      <c r="D265" s="16"/>
      <c r="E265" s="16"/>
      <c r="F265" s="10"/>
      <c r="G265" s="58"/>
      <c r="H265" s="11"/>
      <c r="I265" s="160"/>
      <c r="J265" s="161"/>
      <c r="K265" s="17"/>
      <c r="L265" s="18"/>
      <c r="M265" s="14"/>
      <c r="N265" s="14"/>
      <c r="O265" s="115"/>
      <c r="P265" s="61"/>
      <c r="Q265" s="213"/>
    </row>
    <row r="266" spans="1:17" ht="25.5" customHeight="1">
      <c r="A266" s="2">
        <f t="shared" si="4"/>
        <v>261</v>
      </c>
      <c r="B266" s="23"/>
      <c r="C266" s="16"/>
      <c r="D266" s="16"/>
      <c r="E266" s="16"/>
      <c r="F266" s="10"/>
      <c r="G266" s="58"/>
      <c r="H266" s="11"/>
      <c r="I266" s="160"/>
      <c r="J266" s="161"/>
      <c r="K266" s="17"/>
      <c r="L266" s="18"/>
      <c r="M266" s="14"/>
      <c r="N266" s="14"/>
      <c r="O266" s="115"/>
      <c r="P266" s="61"/>
      <c r="Q266" s="213"/>
    </row>
    <row r="267" spans="1:17" ht="25.5" customHeight="1">
      <c r="A267" s="2">
        <f t="shared" si="4"/>
        <v>262</v>
      </c>
      <c r="B267" s="23"/>
      <c r="C267" s="16"/>
      <c r="D267" s="16"/>
      <c r="E267" s="16"/>
      <c r="F267" s="10"/>
      <c r="G267" s="58"/>
      <c r="H267" s="11"/>
      <c r="I267" s="160"/>
      <c r="J267" s="161"/>
      <c r="K267" s="17"/>
      <c r="L267" s="18"/>
      <c r="M267" s="14"/>
      <c r="N267" s="14"/>
      <c r="O267" s="115"/>
      <c r="P267" s="61"/>
      <c r="Q267" s="213"/>
    </row>
    <row r="268" spans="1:17" ht="25.5" customHeight="1">
      <c r="A268" s="2">
        <f t="shared" si="4"/>
        <v>263</v>
      </c>
      <c r="B268" s="23"/>
      <c r="C268" s="16"/>
      <c r="D268" s="16"/>
      <c r="E268" s="16"/>
      <c r="F268" s="10"/>
      <c r="G268" s="58"/>
      <c r="H268" s="11"/>
      <c r="I268" s="160"/>
      <c r="J268" s="161"/>
      <c r="K268" s="17"/>
      <c r="L268" s="18"/>
      <c r="M268" s="14"/>
      <c r="N268" s="14"/>
      <c r="O268" s="115"/>
      <c r="P268" s="61"/>
      <c r="Q268" s="213"/>
    </row>
    <row r="269" spans="1:17" ht="25.5" customHeight="1">
      <c r="A269" s="2">
        <f t="shared" si="4"/>
        <v>264</v>
      </c>
      <c r="B269" s="23"/>
      <c r="C269" s="16"/>
      <c r="D269" s="16"/>
      <c r="E269" s="16"/>
      <c r="F269" s="10"/>
      <c r="G269" s="58"/>
      <c r="H269" s="11"/>
      <c r="I269" s="160"/>
      <c r="J269" s="161"/>
      <c r="K269" s="17"/>
      <c r="L269" s="18"/>
      <c r="M269" s="14"/>
      <c r="N269" s="14"/>
      <c r="O269" s="115"/>
      <c r="P269" s="61"/>
      <c r="Q269" s="213"/>
    </row>
    <row r="270" spans="1:17" ht="25.5" customHeight="1">
      <c r="A270" s="2">
        <f t="shared" si="4"/>
        <v>265</v>
      </c>
      <c r="B270" s="23"/>
      <c r="C270" s="16"/>
      <c r="D270" s="16"/>
      <c r="E270" s="16"/>
      <c r="F270" s="10"/>
      <c r="G270" s="58"/>
      <c r="H270" s="11"/>
      <c r="I270" s="160"/>
      <c r="J270" s="161"/>
      <c r="K270" s="17"/>
      <c r="L270" s="18"/>
      <c r="M270" s="14"/>
      <c r="N270" s="14"/>
      <c r="O270" s="115"/>
      <c r="P270" s="61"/>
      <c r="Q270" s="213"/>
    </row>
    <row r="271" spans="1:17" ht="25.5" customHeight="1">
      <c r="A271" s="2">
        <f t="shared" si="4"/>
        <v>266</v>
      </c>
      <c r="B271" s="23"/>
      <c r="C271" s="16"/>
      <c r="D271" s="16"/>
      <c r="E271" s="16"/>
      <c r="F271" s="10"/>
      <c r="G271" s="58"/>
      <c r="H271" s="11"/>
      <c r="I271" s="160"/>
      <c r="J271" s="161"/>
      <c r="K271" s="17"/>
      <c r="L271" s="18"/>
      <c r="M271" s="14"/>
      <c r="N271" s="14"/>
      <c r="O271" s="115"/>
      <c r="P271" s="61"/>
      <c r="Q271" s="213"/>
    </row>
    <row r="272" spans="1:17" ht="25.5" customHeight="1">
      <c r="A272" s="2">
        <f t="shared" si="4"/>
        <v>267</v>
      </c>
      <c r="B272" s="23"/>
      <c r="C272" s="16"/>
      <c r="D272" s="16"/>
      <c r="E272" s="16"/>
      <c r="F272" s="10"/>
      <c r="G272" s="58"/>
      <c r="H272" s="11"/>
      <c r="I272" s="160"/>
      <c r="J272" s="161"/>
      <c r="K272" s="17"/>
      <c r="L272" s="18"/>
      <c r="M272" s="14"/>
      <c r="N272" s="14"/>
      <c r="O272" s="115"/>
      <c r="P272" s="61"/>
      <c r="Q272" s="213"/>
    </row>
    <row r="273" spans="1:17" ht="25.5" customHeight="1">
      <c r="A273" s="2">
        <f t="shared" si="4"/>
        <v>268</v>
      </c>
      <c r="B273" s="23"/>
      <c r="C273" s="16"/>
      <c r="D273" s="16"/>
      <c r="E273" s="16"/>
      <c r="F273" s="10"/>
      <c r="G273" s="58"/>
      <c r="H273" s="11"/>
      <c r="I273" s="160"/>
      <c r="J273" s="161"/>
      <c r="K273" s="17"/>
      <c r="L273" s="18"/>
      <c r="M273" s="14"/>
      <c r="N273" s="14"/>
      <c r="O273" s="115"/>
      <c r="P273" s="61"/>
      <c r="Q273" s="213"/>
    </row>
    <row r="274" spans="1:17" ht="25.5" customHeight="1">
      <c r="A274" s="2">
        <f t="shared" si="4"/>
        <v>269</v>
      </c>
      <c r="B274" s="23"/>
      <c r="C274" s="16"/>
      <c r="D274" s="16"/>
      <c r="E274" s="16"/>
      <c r="F274" s="10"/>
      <c r="G274" s="58"/>
      <c r="H274" s="11"/>
      <c r="I274" s="160"/>
      <c r="J274" s="161"/>
      <c r="K274" s="17"/>
      <c r="L274" s="18"/>
      <c r="M274" s="14"/>
      <c r="N274" s="14"/>
      <c r="O274" s="115"/>
      <c r="P274" s="61"/>
      <c r="Q274" s="213"/>
    </row>
    <row r="275" spans="1:17" ht="25.5" customHeight="1">
      <c r="A275" s="2">
        <f t="shared" si="4"/>
        <v>270</v>
      </c>
      <c r="B275" s="23"/>
      <c r="C275" s="16"/>
      <c r="D275" s="16"/>
      <c r="E275" s="16"/>
      <c r="F275" s="10"/>
      <c r="G275" s="58"/>
      <c r="H275" s="11"/>
      <c r="I275" s="160"/>
      <c r="J275" s="161"/>
      <c r="K275" s="17"/>
      <c r="L275" s="18"/>
      <c r="M275" s="14"/>
      <c r="N275" s="14"/>
      <c r="O275" s="115"/>
      <c r="P275" s="61"/>
      <c r="Q275" s="213"/>
    </row>
    <row r="276" spans="1:17" ht="25.5" customHeight="1">
      <c r="A276" s="2">
        <f t="shared" si="4"/>
        <v>271</v>
      </c>
      <c r="B276" s="23"/>
      <c r="C276" s="16"/>
      <c r="D276" s="16"/>
      <c r="E276" s="16"/>
      <c r="F276" s="10"/>
      <c r="G276" s="58"/>
      <c r="H276" s="11"/>
      <c r="I276" s="160"/>
      <c r="J276" s="161"/>
      <c r="K276" s="17"/>
      <c r="L276" s="18"/>
      <c r="M276" s="14"/>
      <c r="N276" s="14"/>
      <c r="O276" s="115"/>
      <c r="P276" s="61"/>
      <c r="Q276" s="213"/>
    </row>
    <row r="277" spans="1:17" ht="25.5" customHeight="1">
      <c r="A277" s="2">
        <f t="shared" si="4"/>
        <v>272</v>
      </c>
      <c r="B277" s="23"/>
      <c r="C277" s="16"/>
      <c r="D277" s="16"/>
      <c r="E277" s="16"/>
      <c r="F277" s="10"/>
      <c r="G277" s="58"/>
      <c r="H277" s="11"/>
      <c r="I277" s="160"/>
      <c r="J277" s="161"/>
      <c r="K277" s="17"/>
      <c r="L277" s="18"/>
      <c r="M277" s="14"/>
      <c r="N277" s="14"/>
      <c r="O277" s="115"/>
      <c r="P277" s="61"/>
      <c r="Q277" s="213"/>
    </row>
    <row r="278" spans="1:17" ht="25.5" customHeight="1">
      <c r="A278" s="2">
        <f t="shared" si="4"/>
        <v>273</v>
      </c>
      <c r="B278" s="23"/>
      <c r="C278" s="16"/>
      <c r="D278" s="16"/>
      <c r="E278" s="16"/>
      <c r="F278" s="10"/>
      <c r="G278" s="58"/>
      <c r="H278" s="11"/>
      <c r="I278" s="160"/>
      <c r="J278" s="161"/>
      <c r="K278" s="17"/>
      <c r="L278" s="18"/>
      <c r="M278" s="14"/>
      <c r="N278" s="14"/>
      <c r="O278" s="115"/>
      <c r="P278" s="61"/>
      <c r="Q278" s="213"/>
    </row>
    <row r="279" spans="1:17" ht="25.5" customHeight="1">
      <c r="A279" s="2">
        <f t="shared" si="4"/>
        <v>274</v>
      </c>
      <c r="B279" s="23"/>
      <c r="C279" s="16"/>
      <c r="D279" s="16"/>
      <c r="E279" s="16"/>
      <c r="F279" s="10"/>
      <c r="G279" s="58"/>
      <c r="H279" s="11"/>
      <c r="I279" s="160"/>
      <c r="J279" s="161"/>
      <c r="K279" s="17"/>
      <c r="L279" s="18"/>
      <c r="M279" s="14"/>
      <c r="N279" s="14"/>
      <c r="O279" s="115"/>
      <c r="P279" s="61"/>
      <c r="Q279" s="213"/>
    </row>
    <row r="280" spans="1:17" ht="25.5" customHeight="1">
      <c r="A280" s="2">
        <f t="shared" si="4"/>
        <v>275</v>
      </c>
      <c r="B280" s="23"/>
      <c r="C280" s="16"/>
      <c r="D280" s="16"/>
      <c r="E280" s="16"/>
      <c r="F280" s="10"/>
      <c r="G280" s="58"/>
      <c r="H280" s="11"/>
      <c r="I280" s="160"/>
      <c r="J280" s="161"/>
      <c r="K280" s="17"/>
      <c r="L280" s="18"/>
      <c r="M280" s="14"/>
      <c r="N280" s="14"/>
      <c r="O280" s="115"/>
      <c r="P280" s="61"/>
      <c r="Q280" s="213"/>
    </row>
    <row r="281" spans="1:17" ht="25.5" customHeight="1">
      <c r="A281" s="2">
        <f t="shared" si="4"/>
        <v>276</v>
      </c>
      <c r="B281" s="23"/>
      <c r="C281" s="16"/>
      <c r="D281" s="16"/>
      <c r="E281" s="16"/>
      <c r="F281" s="10"/>
      <c r="G281" s="58"/>
      <c r="H281" s="11"/>
      <c r="I281" s="160"/>
      <c r="J281" s="161"/>
      <c r="K281" s="17"/>
      <c r="L281" s="18"/>
      <c r="M281" s="14"/>
      <c r="N281" s="14"/>
      <c r="O281" s="115"/>
      <c r="P281" s="61"/>
      <c r="Q281" s="213"/>
    </row>
    <row r="282" spans="1:17" ht="25.5" customHeight="1">
      <c r="A282" s="2">
        <f t="shared" si="4"/>
        <v>277</v>
      </c>
      <c r="B282" s="23"/>
      <c r="C282" s="16"/>
      <c r="D282" s="16"/>
      <c r="E282" s="16"/>
      <c r="F282" s="10"/>
      <c r="G282" s="58"/>
      <c r="H282" s="11"/>
      <c r="I282" s="160"/>
      <c r="J282" s="161"/>
      <c r="K282" s="17"/>
      <c r="L282" s="18"/>
      <c r="M282" s="14"/>
      <c r="N282" s="14"/>
      <c r="O282" s="115"/>
      <c r="P282" s="61"/>
      <c r="Q282" s="213"/>
    </row>
    <row r="283" spans="1:17" ht="25.5" customHeight="1">
      <c r="A283" s="2">
        <f t="shared" si="4"/>
        <v>278</v>
      </c>
      <c r="B283" s="23"/>
      <c r="C283" s="16"/>
      <c r="D283" s="16"/>
      <c r="E283" s="16"/>
      <c r="F283" s="10"/>
      <c r="G283" s="58"/>
      <c r="H283" s="11"/>
      <c r="I283" s="160"/>
      <c r="J283" s="161"/>
      <c r="K283" s="17"/>
      <c r="L283" s="18"/>
      <c r="M283" s="14"/>
      <c r="N283" s="14"/>
      <c r="O283" s="115"/>
      <c r="P283" s="61"/>
      <c r="Q283" s="213"/>
    </row>
    <row r="284" spans="1:17" ht="25.5" customHeight="1">
      <c r="A284" s="2">
        <f t="shared" si="4"/>
        <v>279</v>
      </c>
      <c r="B284" s="23"/>
      <c r="C284" s="16"/>
      <c r="D284" s="16"/>
      <c r="E284" s="16"/>
      <c r="F284" s="10"/>
      <c r="G284" s="58"/>
      <c r="H284" s="11"/>
      <c r="I284" s="160"/>
      <c r="J284" s="161"/>
      <c r="K284" s="17"/>
      <c r="L284" s="18"/>
      <c r="M284" s="14"/>
      <c r="N284" s="14"/>
      <c r="O284" s="115"/>
      <c r="P284" s="61"/>
      <c r="Q284" s="213"/>
    </row>
    <row r="285" spans="1:17" ht="25.5" customHeight="1">
      <c r="A285" s="2">
        <f t="shared" si="4"/>
        <v>280</v>
      </c>
      <c r="B285" s="23"/>
      <c r="C285" s="16"/>
      <c r="D285" s="16"/>
      <c r="E285" s="16"/>
      <c r="F285" s="10"/>
      <c r="G285" s="58"/>
      <c r="H285" s="11"/>
      <c r="I285" s="160"/>
      <c r="J285" s="161"/>
      <c r="K285" s="17"/>
      <c r="L285" s="18"/>
      <c r="M285" s="14"/>
      <c r="N285" s="14"/>
      <c r="O285" s="115"/>
      <c r="P285" s="61"/>
      <c r="Q285" s="213"/>
    </row>
    <row r="286" spans="1:17" ht="25.5" customHeight="1">
      <c r="A286" s="2">
        <f t="shared" si="4"/>
        <v>281</v>
      </c>
      <c r="B286" s="23"/>
      <c r="C286" s="16"/>
      <c r="D286" s="16"/>
      <c r="E286" s="16"/>
      <c r="F286" s="10"/>
      <c r="G286" s="58"/>
      <c r="H286" s="11"/>
      <c r="I286" s="160"/>
      <c r="J286" s="161"/>
      <c r="K286" s="17"/>
      <c r="L286" s="18"/>
      <c r="M286" s="14"/>
      <c r="N286" s="14"/>
      <c r="O286" s="115"/>
      <c r="P286" s="61"/>
      <c r="Q286" s="213"/>
    </row>
    <row r="287" spans="1:17" ht="25.5" customHeight="1">
      <c r="A287" s="2">
        <f t="shared" si="4"/>
        <v>282</v>
      </c>
      <c r="B287" s="23"/>
      <c r="C287" s="16"/>
      <c r="D287" s="16"/>
      <c r="E287" s="16"/>
      <c r="F287" s="10"/>
      <c r="G287" s="58"/>
      <c r="H287" s="11"/>
      <c r="I287" s="160"/>
      <c r="J287" s="161"/>
      <c r="K287" s="17"/>
      <c r="L287" s="18"/>
      <c r="M287" s="14"/>
      <c r="N287" s="14"/>
      <c r="O287" s="115"/>
      <c r="P287" s="61"/>
      <c r="Q287" s="213"/>
    </row>
    <row r="288" spans="1:17" ht="25.5" customHeight="1">
      <c r="A288" s="2">
        <f t="shared" si="4"/>
        <v>283</v>
      </c>
      <c r="B288" s="23"/>
      <c r="C288" s="16"/>
      <c r="D288" s="16"/>
      <c r="E288" s="16"/>
      <c r="F288" s="10"/>
      <c r="G288" s="58"/>
      <c r="H288" s="11"/>
      <c r="I288" s="160"/>
      <c r="J288" s="161"/>
      <c r="K288" s="17"/>
      <c r="L288" s="18"/>
      <c r="M288" s="14"/>
      <c r="N288" s="14"/>
      <c r="O288" s="115"/>
      <c r="P288" s="61"/>
      <c r="Q288" s="213"/>
    </row>
    <row r="289" spans="1:17" ht="25.5" customHeight="1">
      <c r="A289" s="2">
        <f t="shared" si="4"/>
        <v>284</v>
      </c>
      <c r="B289" s="23"/>
      <c r="C289" s="16"/>
      <c r="D289" s="16"/>
      <c r="E289" s="16"/>
      <c r="F289" s="10"/>
      <c r="G289" s="58"/>
      <c r="H289" s="11"/>
      <c r="I289" s="160"/>
      <c r="J289" s="161"/>
      <c r="K289" s="17"/>
      <c r="L289" s="18"/>
      <c r="M289" s="14"/>
      <c r="N289" s="14"/>
      <c r="O289" s="115"/>
      <c r="P289" s="61"/>
      <c r="Q289" s="213"/>
    </row>
    <row r="290" spans="1:17" ht="25.5" customHeight="1">
      <c r="A290" s="2">
        <f t="shared" si="4"/>
        <v>285</v>
      </c>
      <c r="B290" s="23"/>
      <c r="C290" s="16"/>
      <c r="D290" s="16"/>
      <c r="E290" s="16"/>
      <c r="F290" s="10"/>
      <c r="G290" s="58"/>
      <c r="H290" s="11"/>
      <c r="I290" s="160"/>
      <c r="J290" s="161"/>
      <c r="K290" s="17"/>
      <c r="L290" s="18"/>
      <c r="M290" s="14"/>
      <c r="N290" s="14"/>
      <c r="O290" s="115"/>
      <c r="P290" s="61"/>
      <c r="Q290" s="213"/>
    </row>
    <row r="291" spans="1:17" ht="25.5" customHeight="1">
      <c r="A291" s="2">
        <f t="shared" si="4"/>
        <v>286</v>
      </c>
      <c r="B291" s="23"/>
      <c r="C291" s="16"/>
      <c r="D291" s="16"/>
      <c r="E291" s="16"/>
      <c r="F291" s="10"/>
      <c r="G291" s="58"/>
      <c r="H291" s="11"/>
      <c r="I291" s="160"/>
      <c r="J291" s="161"/>
      <c r="K291" s="17"/>
      <c r="L291" s="18"/>
      <c r="M291" s="14"/>
      <c r="N291" s="14"/>
      <c r="O291" s="115"/>
      <c r="P291" s="61"/>
      <c r="Q291" s="213"/>
    </row>
    <row r="292" spans="1:17" ht="25.5" customHeight="1">
      <c r="A292" s="2">
        <f t="shared" si="4"/>
        <v>287</v>
      </c>
      <c r="B292" s="23"/>
      <c r="C292" s="16"/>
      <c r="D292" s="16"/>
      <c r="E292" s="16"/>
      <c r="F292" s="10"/>
      <c r="G292" s="58"/>
      <c r="H292" s="11"/>
      <c r="I292" s="160"/>
      <c r="J292" s="161"/>
      <c r="K292" s="17"/>
      <c r="L292" s="18"/>
      <c r="M292" s="14"/>
      <c r="N292" s="14"/>
      <c r="O292" s="115"/>
      <c r="P292" s="61"/>
      <c r="Q292" s="213"/>
    </row>
    <row r="293" spans="1:17" ht="25.5" customHeight="1">
      <c r="A293" s="2">
        <f t="shared" si="4"/>
        <v>288</v>
      </c>
      <c r="B293" s="23"/>
      <c r="C293" s="16"/>
      <c r="D293" s="16"/>
      <c r="E293" s="16"/>
      <c r="F293" s="10"/>
      <c r="G293" s="58"/>
      <c r="H293" s="11"/>
      <c r="I293" s="160"/>
      <c r="J293" s="161"/>
      <c r="K293" s="17"/>
      <c r="L293" s="18"/>
      <c r="M293" s="14"/>
      <c r="N293" s="14"/>
      <c r="O293" s="115"/>
      <c r="P293" s="61"/>
      <c r="Q293" s="213"/>
    </row>
    <row r="294" spans="1:17" ht="25.5" customHeight="1">
      <c r="A294" s="2">
        <f t="shared" si="4"/>
        <v>289</v>
      </c>
      <c r="B294" s="23"/>
      <c r="C294" s="16"/>
      <c r="D294" s="16"/>
      <c r="E294" s="16"/>
      <c r="F294" s="10"/>
      <c r="G294" s="58"/>
      <c r="H294" s="11"/>
      <c r="I294" s="160"/>
      <c r="J294" s="161"/>
      <c r="K294" s="17"/>
      <c r="L294" s="18"/>
      <c r="M294" s="14"/>
      <c r="N294" s="14"/>
      <c r="O294" s="115"/>
      <c r="P294" s="61"/>
      <c r="Q294" s="213"/>
    </row>
    <row r="295" spans="1:17" ht="25.5" customHeight="1">
      <c r="A295" s="2">
        <f t="shared" si="4"/>
        <v>290</v>
      </c>
      <c r="B295" s="23"/>
      <c r="C295" s="16"/>
      <c r="D295" s="16"/>
      <c r="E295" s="16"/>
      <c r="F295" s="10"/>
      <c r="G295" s="58"/>
      <c r="H295" s="11"/>
      <c r="I295" s="160"/>
      <c r="J295" s="161"/>
      <c r="K295" s="17"/>
      <c r="L295" s="18"/>
      <c r="M295" s="14"/>
      <c r="N295" s="14"/>
      <c r="O295" s="115"/>
      <c r="P295" s="61"/>
      <c r="Q295" s="213"/>
    </row>
    <row r="296" spans="1:17" ht="25.5" customHeight="1">
      <c r="A296" s="2">
        <f t="shared" si="4"/>
        <v>291</v>
      </c>
      <c r="B296" s="23"/>
      <c r="C296" s="16"/>
      <c r="D296" s="16"/>
      <c r="E296" s="16"/>
      <c r="F296" s="10"/>
      <c r="G296" s="58"/>
      <c r="H296" s="11"/>
      <c r="I296" s="160"/>
      <c r="J296" s="161"/>
      <c r="K296" s="17"/>
      <c r="L296" s="18"/>
      <c r="M296" s="14"/>
      <c r="N296" s="14"/>
      <c r="O296" s="115"/>
      <c r="P296" s="61"/>
      <c r="Q296" s="213"/>
    </row>
    <row r="297" spans="1:17" ht="25.5" customHeight="1">
      <c r="A297" s="2">
        <f t="shared" si="4"/>
        <v>292</v>
      </c>
      <c r="B297" s="23"/>
      <c r="C297" s="16"/>
      <c r="D297" s="16"/>
      <c r="E297" s="16"/>
      <c r="F297" s="10"/>
      <c r="G297" s="58"/>
      <c r="H297" s="11"/>
      <c r="I297" s="160"/>
      <c r="J297" s="161"/>
      <c r="K297" s="17"/>
      <c r="L297" s="18"/>
      <c r="M297" s="14"/>
      <c r="N297" s="14"/>
      <c r="O297" s="115"/>
      <c r="P297" s="61"/>
      <c r="Q297" s="213"/>
    </row>
    <row r="298" spans="1:17" ht="25.5" customHeight="1">
      <c r="A298" s="2">
        <f t="shared" si="4"/>
        <v>293</v>
      </c>
      <c r="B298" s="23"/>
      <c r="C298" s="16"/>
      <c r="D298" s="16"/>
      <c r="E298" s="16"/>
      <c r="F298" s="10"/>
      <c r="G298" s="58"/>
      <c r="H298" s="11"/>
      <c r="I298" s="160"/>
      <c r="J298" s="161"/>
      <c r="K298" s="17"/>
      <c r="L298" s="18"/>
      <c r="M298" s="14"/>
      <c r="N298" s="14"/>
      <c r="O298" s="115"/>
      <c r="P298" s="61"/>
      <c r="Q298" s="213"/>
    </row>
    <row r="299" spans="1:17" ht="25.5" customHeight="1">
      <c r="A299" s="2">
        <f t="shared" si="4"/>
        <v>294</v>
      </c>
      <c r="B299" s="23"/>
      <c r="C299" s="16"/>
      <c r="D299" s="16"/>
      <c r="E299" s="16"/>
      <c r="F299" s="10"/>
      <c r="G299" s="58"/>
      <c r="H299" s="11"/>
      <c r="I299" s="160"/>
      <c r="J299" s="161"/>
      <c r="K299" s="17"/>
      <c r="L299" s="18"/>
      <c r="M299" s="14"/>
      <c r="N299" s="14"/>
      <c r="O299" s="115"/>
      <c r="P299" s="61"/>
      <c r="Q299" s="106"/>
    </row>
    <row r="300" spans="1:17" ht="25.5" customHeight="1">
      <c r="A300" s="2">
        <f t="shared" si="4"/>
        <v>295</v>
      </c>
      <c r="B300" s="23"/>
      <c r="C300" s="16"/>
      <c r="D300" s="16"/>
      <c r="E300" s="16"/>
      <c r="F300" s="12"/>
      <c r="G300" s="58"/>
      <c r="H300" s="13"/>
      <c r="I300" s="160"/>
      <c r="J300" s="161"/>
      <c r="K300" s="17"/>
      <c r="L300" s="18"/>
      <c r="M300" s="15"/>
      <c r="N300" s="15"/>
      <c r="O300" s="115"/>
      <c r="P300" s="61"/>
      <c r="Q300" s="106"/>
    </row>
    <row r="301" spans="1:17" ht="25.5" customHeight="1">
      <c r="A301" s="2">
        <f t="shared" si="4"/>
        <v>296</v>
      </c>
      <c r="B301" s="23"/>
      <c r="C301" s="16"/>
      <c r="D301" s="16"/>
      <c r="E301" s="16"/>
      <c r="F301" s="12"/>
      <c r="G301" s="58"/>
      <c r="H301" s="13"/>
      <c r="I301" s="160"/>
      <c r="J301" s="161"/>
      <c r="K301" s="17"/>
      <c r="L301" s="18"/>
      <c r="M301" s="15"/>
      <c r="N301" s="15"/>
      <c r="O301" s="115"/>
      <c r="P301" s="61"/>
      <c r="Q301" s="106"/>
    </row>
    <row r="302" spans="1:17" ht="25.5" customHeight="1">
      <c r="A302" s="2">
        <f t="shared" si="4"/>
        <v>297</v>
      </c>
      <c r="B302" s="23"/>
      <c r="C302" s="16"/>
      <c r="D302" s="16"/>
      <c r="E302" s="16"/>
      <c r="F302" s="12"/>
      <c r="G302" s="58"/>
      <c r="H302" s="13"/>
      <c r="I302" s="160"/>
      <c r="J302" s="161"/>
      <c r="K302" s="17"/>
      <c r="L302" s="18"/>
      <c r="M302" s="15"/>
      <c r="N302" s="15"/>
      <c r="O302" s="115"/>
      <c r="P302" s="61"/>
      <c r="Q302" s="106"/>
    </row>
    <row r="303" spans="1:17" ht="25.5" customHeight="1">
      <c r="A303" s="2">
        <f t="shared" si="4"/>
        <v>298</v>
      </c>
      <c r="B303" s="23"/>
      <c r="C303" s="16"/>
      <c r="D303" s="16"/>
      <c r="E303" s="16"/>
      <c r="F303" s="12"/>
      <c r="G303" s="58"/>
      <c r="H303" s="13"/>
      <c r="I303" s="160"/>
      <c r="J303" s="161"/>
      <c r="K303" s="17"/>
      <c r="L303" s="18"/>
      <c r="M303" s="15"/>
      <c r="N303" s="15"/>
      <c r="O303" s="115"/>
      <c r="P303" s="61"/>
      <c r="Q303" s="106"/>
    </row>
    <row r="304" spans="1:17" ht="25.5" customHeight="1">
      <c r="A304" s="2">
        <f t="shared" si="4"/>
        <v>299</v>
      </c>
      <c r="B304" s="23"/>
      <c r="C304" s="16"/>
      <c r="D304" s="16"/>
      <c r="E304" s="16"/>
      <c r="F304" s="12"/>
      <c r="G304" s="58"/>
      <c r="H304" s="13"/>
      <c r="I304" s="160"/>
      <c r="J304" s="161"/>
      <c r="K304" s="17"/>
      <c r="L304" s="18"/>
      <c r="M304" s="15"/>
      <c r="N304" s="15"/>
      <c r="O304" s="115"/>
      <c r="P304" s="61"/>
      <c r="Q304" s="106"/>
    </row>
    <row r="305" spans="1:17" ht="25.5" customHeight="1">
      <c r="A305" s="2">
        <f t="shared" si="4"/>
        <v>300</v>
      </c>
      <c r="B305" s="23"/>
      <c r="C305" s="16"/>
      <c r="D305" s="16"/>
      <c r="E305" s="16"/>
      <c r="F305" s="12"/>
      <c r="G305" s="58"/>
      <c r="H305" s="13"/>
      <c r="I305" s="160"/>
      <c r="J305" s="161"/>
      <c r="K305" s="17"/>
      <c r="L305" s="18"/>
      <c r="M305" s="15"/>
      <c r="N305" s="15"/>
      <c r="O305" s="115"/>
      <c r="P305" s="61"/>
      <c r="Q305" s="106"/>
    </row>
    <row r="306" spans="10:14" ht="12.75">
      <c r="J306" s="260"/>
      <c r="K306" s="260"/>
      <c r="L306" s="260"/>
      <c r="M306" s="1"/>
      <c r="N306" s="1"/>
    </row>
  </sheetData>
  <sheetProtection selectLockedCells="1" selectUnlockedCells="1"/>
  <mergeCells count="8">
    <mergeCell ref="A1:Q1"/>
    <mergeCell ref="A2:Q2"/>
    <mergeCell ref="A4:A5"/>
    <mergeCell ref="J306:L306"/>
    <mergeCell ref="C4:H4"/>
    <mergeCell ref="B4:B5"/>
    <mergeCell ref="I4:O4"/>
    <mergeCell ref="P4:Q4"/>
  </mergeCells>
  <dataValidations count="4">
    <dataValidation type="list" allowBlank="1" showInputMessage="1" showErrorMessage="1" sqref="P6:P305 I6:I305">
      <formula1>Сложностьмаршрута</formula1>
    </dataValidation>
    <dataValidation type="list" allowBlank="1" showInputMessage="1" showErrorMessage="1" sqref="E6:E305 L6:L305">
      <formula1>Районадм</formula1>
    </dataValidation>
    <dataValidation type="list" allowBlank="1" showInputMessage="1" showErrorMessage="1" sqref="K6:K305">
      <formula1>Районор</formula1>
    </dataValidation>
    <dataValidation type="list" allowBlank="1" showInputMessage="1" showErrorMessage="1" sqref="J6:J305">
      <formula1>Вид_туризма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rgb="FF0070C0"/>
  </sheetPr>
  <dimension ref="A1:T40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J13" sqref="J13"/>
    </sheetView>
  </sheetViews>
  <sheetFormatPr defaultColWidth="9.00390625" defaultRowHeight="12.75"/>
  <cols>
    <col min="1" max="1" width="3.625" style="0" customWidth="1"/>
    <col min="2" max="2" width="6.25390625" style="0" customWidth="1"/>
    <col min="3" max="3" width="17.25390625" style="0" customWidth="1"/>
    <col min="4" max="4" width="22.125" style="0" customWidth="1"/>
    <col min="5" max="5" width="17.00390625" style="0" customWidth="1"/>
    <col min="6" max="6" width="13.25390625" style="0" customWidth="1"/>
    <col min="7" max="7" width="15.125" style="0" customWidth="1"/>
    <col min="8" max="8" width="14.00390625" style="0" customWidth="1"/>
    <col min="9" max="9" width="10.75390625" style="0" customWidth="1"/>
    <col min="10" max="10" width="12.75390625" style="0" customWidth="1"/>
    <col min="11" max="11" width="28.75390625" style="0" customWidth="1"/>
    <col min="12" max="12" width="22.00390625" style="0" customWidth="1"/>
    <col min="13" max="13" width="10.00390625" style="0" customWidth="1"/>
    <col min="14" max="14" width="10.125" style="0" customWidth="1"/>
    <col min="15" max="15" width="16.25390625" style="0" customWidth="1"/>
    <col min="16" max="17" width="13.625" style="0" customWidth="1"/>
    <col min="18" max="18" width="9.625" style="0" customWidth="1"/>
    <col min="19" max="19" width="10.25390625" style="0" customWidth="1"/>
    <col min="20" max="20" width="16.625" style="0" customWidth="1"/>
  </cols>
  <sheetData>
    <row r="1" spans="1:20" ht="17.25" customHeight="1">
      <c r="A1" s="256" t="str">
        <f>'Заполнить !'!B2</f>
        <v>МКК ГАУДО "КУЗБАССКИЙ ЦЕНТР ДЕТСКОГО И ЮНОШЕСКОГО ТУРИЗМА И ЭКСКУРСИЙ" 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</row>
    <row r="2" spans="1:20" ht="23.25" customHeight="1">
      <c r="A2" s="257" t="s">
        <v>81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ht="16.5" customHeight="1"/>
    <row r="4" spans="1:20" ht="26.25" customHeight="1">
      <c r="A4" s="258" t="s">
        <v>0</v>
      </c>
      <c r="B4" s="269" t="s">
        <v>89</v>
      </c>
      <c r="C4" s="261" t="s">
        <v>10</v>
      </c>
      <c r="D4" s="261"/>
      <c r="E4" s="261"/>
      <c r="F4" s="261"/>
      <c r="G4" s="261"/>
      <c r="H4" s="261"/>
      <c r="I4" s="273" t="s">
        <v>2</v>
      </c>
      <c r="J4" s="274"/>
      <c r="K4" s="274"/>
      <c r="L4" s="274"/>
      <c r="M4" s="274"/>
      <c r="N4" s="274"/>
      <c r="O4" s="274"/>
      <c r="P4" s="275"/>
      <c r="Q4" s="271" t="s">
        <v>20</v>
      </c>
      <c r="R4" s="271"/>
      <c r="S4" s="272"/>
      <c r="T4" s="268" t="s">
        <v>5</v>
      </c>
    </row>
    <row r="5" spans="1:20" ht="61.5" customHeight="1">
      <c r="A5" s="259"/>
      <c r="B5" s="270"/>
      <c r="C5" s="19" t="s">
        <v>1</v>
      </c>
      <c r="D5" s="19" t="s">
        <v>80</v>
      </c>
      <c r="E5" s="20" t="s">
        <v>180</v>
      </c>
      <c r="F5" s="20" t="s">
        <v>199</v>
      </c>
      <c r="G5" s="20" t="s">
        <v>134</v>
      </c>
      <c r="H5" s="113" t="s">
        <v>193</v>
      </c>
      <c r="I5" s="21" t="s">
        <v>84</v>
      </c>
      <c r="J5" s="21" t="s">
        <v>18</v>
      </c>
      <c r="K5" s="21" t="s">
        <v>52</v>
      </c>
      <c r="L5" s="247" t="s">
        <v>207</v>
      </c>
      <c r="M5" s="21" t="s">
        <v>3</v>
      </c>
      <c r="N5" s="21" t="s">
        <v>4</v>
      </c>
      <c r="O5" s="25" t="s">
        <v>88</v>
      </c>
      <c r="P5" s="116" t="s">
        <v>136</v>
      </c>
      <c r="Q5" s="22" t="s">
        <v>83</v>
      </c>
      <c r="R5" s="22" t="s">
        <v>85</v>
      </c>
      <c r="S5" s="27" t="s">
        <v>39</v>
      </c>
      <c r="T5" s="268"/>
    </row>
    <row r="6" spans="1:20" ht="27" customHeight="1">
      <c r="A6" s="2">
        <f aca="true" t="shared" si="0" ref="A6:A40">ROW($A6:$IV6)-5</f>
        <v>1</v>
      </c>
      <c r="B6" s="23" t="s">
        <v>211</v>
      </c>
      <c r="C6" s="162"/>
      <c r="D6" s="162"/>
      <c r="E6" s="16"/>
      <c r="F6" s="10"/>
      <c r="G6" s="11"/>
      <c r="H6" s="11"/>
      <c r="I6" s="156"/>
      <c r="J6" s="17"/>
      <c r="K6" s="17"/>
      <c r="L6" s="18"/>
      <c r="M6" s="14"/>
      <c r="N6" s="26"/>
      <c r="O6" s="166"/>
      <c r="P6" s="26"/>
      <c r="Q6" s="179"/>
      <c r="R6" s="179"/>
      <c r="S6" s="105"/>
      <c r="T6" s="107"/>
    </row>
    <row r="7" spans="1:20" ht="33" customHeight="1">
      <c r="A7" s="2">
        <f t="shared" si="0"/>
        <v>2</v>
      </c>
      <c r="B7" s="23"/>
      <c r="C7" s="162"/>
      <c r="D7" s="162"/>
      <c r="E7" s="16"/>
      <c r="F7" s="10"/>
      <c r="G7" s="11"/>
      <c r="H7" s="11"/>
      <c r="I7" s="156"/>
      <c r="J7" s="17"/>
      <c r="K7" s="17"/>
      <c r="L7" s="18"/>
      <c r="M7" s="14"/>
      <c r="N7" s="26"/>
      <c r="O7" s="166"/>
      <c r="P7" s="209"/>
      <c r="Q7" s="165"/>
      <c r="R7" s="61"/>
      <c r="S7" s="62"/>
      <c r="T7" s="108"/>
    </row>
    <row r="8" spans="1:20" ht="27" customHeight="1">
      <c r="A8" s="2">
        <f t="shared" si="0"/>
        <v>3</v>
      </c>
      <c r="B8" s="23"/>
      <c r="C8" s="162"/>
      <c r="D8" s="162"/>
      <c r="E8" s="16"/>
      <c r="F8" s="10"/>
      <c r="G8" s="11"/>
      <c r="H8" s="11"/>
      <c r="I8" s="156"/>
      <c r="J8" s="17"/>
      <c r="K8" s="17"/>
      <c r="L8" s="18"/>
      <c r="M8" s="14"/>
      <c r="N8" s="26"/>
      <c r="O8" s="166"/>
      <c r="P8" s="26"/>
      <c r="Q8" s="104"/>
      <c r="R8" s="104"/>
      <c r="S8" s="105"/>
      <c r="T8" s="109"/>
    </row>
    <row r="9" spans="1:20" ht="27" customHeight="1">
      <c r="A9" s="2">
        <f t="shared" si="0"/>
        <v>4</v>
      </c>
      <c r="B9" s="23"/>
      <c r="C9" s="162"/>
      <c r="D9" s="162"/>
      <c r="E9" s="16"/>
      <c r="F9" s="10"/>
      <c r="G9" s="11"/>
      <c r="H9" s="11"/>
      <c r="I9" s="156"/>
      <c r="J9" s="17"/>
      <c r="K9" s="17"/>
      <c r="L9" s="18"/>
      <c r="M9" s="14"/>
      <c r="N9" s="26"/>
      <c r="O9" s="166"/>
      <c r="P9" s="26"/>
      <c r="Q9" s="211"/>
      <c r="R9" s="104"/>
      <c r="S9" s="105"/>
      <c r="T9" s="109"/>
    </row>
    <row r="10" spans="1:20" ht="27" customHeight="1">
      <c r="A10" s="2">
        <f t="shared" si="0"/>
        <v>5</v>
      </c>
      <c r="B10" s="23"/>
      <c r="C10" s="162"/>
      <c r="D10" s="162"/>
      <c r="E10" s="16"/>
      <c r="F10" s="10"/>
      <c r="G10" s="11"/>
      <c r="H10" s="11"/>
      <c r="I10" s="156"/>
      <c r="J10" s="17"/>
      <c r="K10" s="17"/>
      <c r="L10" s="18"/>
      <c r="M10" s="14"/>
      <c r="N10" s="26"/>
      <c r="O10" s="166"/>
      <c r="P10" s="26"/>
      <c r="Q10" s="104"/>
      <c r="R10" s="104"/>
      <c r="S10" s="105"/>
      <c r="T10" s="109"/>
    </row>
    <row r="11" spans="1:20" ht="27" customHeight="1">
      <c r="A11" s="2">
        <f t="shared" si="0"/>
        <v>6</v>
      </c>
      <c r="B11" s="23"/>
      <c r="C11" s="162"/>
      <c r="D11" s="162"/>
      <c r="E11" s="16"/>
      <c r="F11" s="10"/>
      <c r="G11" s="11"/>
      <c r="H11" s="11"/>
      <c r="I11" s="156"/>
      <c r="J11" s="17"/>
      <c r="K11" s="17"/>
      <c r="L11" s="18"/>
      <c r="M11" s="14"/>
      <c r="N11" s="26"/>
      <c r="O11" s="166"/>
      <c r="P11" s="26"/>
      <c r="Q11" s="104"/>
      <c r="R11" s="104"/>
      <c r="S11" s="105"/>
      <c r="T11" s="109"/>
    </row>
    <row r="12" spans="1:20" ht="27" customHeight="1">
      <c r="A12" s="2">
        <f t="shared" si="0"/>
        <v>7</v>
      </c>
      <c r="B12" s="23"/>
      <c r="C12" s="162"/>
      <c r="D12" s="162"/>
      <c r="E12" s="16"/>
      <c r="F12" s="10"/>
      <c r="G12" s="11"/>
      <c r="H12" s="11"/>
      <c r="I12" s="156"/>
      <c r="J12" s="17"/>
      <c r="K12" s="17"/>
      <c r="L12" s="18"/>
      <c r="M12" s="14"/>
      <c r="N12" s="26"/>
      <c r="O12" s="166"/>
      <c r="P12" s="26"/>
      <c r="Q12" s="104"/>
      <c r="R12" s="104"/>
      <c r="S12" s="105"/>
      <c r="T12" s="109"/>
    </row>
    <row r="13" spans="1:20" ht="27" customHeight="1">
      <c r="A13" s="2">
        <f t="shared" si="0"/>
        <v>8</v>
      </c>
      <c r="B13" s="23"/>
      <c r="C13" s="162"/>
      <c r="D13" s="162"/>
      <c r="E13" s="16"/>
      <c r="F13" s="10"/>
      <c r="G13" s="11"/>
      <c r="H13" s="11"/>
      <c r="I13" s="156"/>
      <c r="J13" s="17"/>
      <c r="K13" s="168"/>
      <c r="L13" s="167"/>
      <c r="M13" s="14"/>
      <c r="N13" s="209"/>
      <c r="O13" s="166"/>
      <c r="P13" s="26"/>
      <c r="Q13" s="104"/>
      <c r="R13" s="104"/>
      <c r="S13" s="105"/>
      <c r="T13" s="109"/>
    </row>
    <row r="14" spans="1:20" ht="27" customHeight="1">
      <c r="A14" s="2">
        <f t="shared" si="0"/>
        <v>9</v>
      </c>
      <c r="B14" s="23"/>
      <c r="C14" s="162"/>
      <c r="D14" s="162"/>
      <c r="E14" s="16"/>
      <c r="F14" s="10"/>
      <c r="G14" s="11"/>
      <c r="H14" s="11"/>
      <c r="I14" s="156"/>
      <c r="J14" s="17"/>
      <c r="K14" s="168"/>
      <c r="L14" s="167"/>
      <c r="M14" s="14"/>
      <c r="N14" s="209"/>
      <c r="O14" s="166"/>
      <c r="P14" s="26"/>
      <c r="Q14" s="104"/>
      <c r="R14" s="104"/>
      <c r="S14" s="105"/>
      <c r="T14" s="109"/>
    </row>
    <row r="15" spans="1:20" ht="27" customHeight="1">
      <c r="A15" s="2">
        <f t="shared" si="0"/>
        <v>10</v>
      </c>
      <c r="B15" s="23"/>
      <c r="C15" s="162"/>
      <c r="D15" s="162"/>
      <c r="E15" s="16"/>
      <c r="F15" s="10"/>
      <c r="G15" s="11"/>
      <c r="H15" s="11"/>
      <c r="I15" s="156"/>
      <c r="J15" s="17"/>
      <c r="K15" s="168"/>
      <c r="L15" s="167"/>
      <c r="M15" s="14"/>
      <c r="N15" s="26"/>
      <c r="O15" s="166"/>
      <c r="P15" s="26"/>
      <c r="Q15" s="104"/>
      <c r="R15" s="104"/>
      <c r="S15" s="105"/>
      <c r="T15" s="109"/>
    </row>
    <row r="16" spans="1:20" ht="27" customHeight="1">
      <c r="A16" s="2">
        <f t="shared" si="0"/>
        <v>11</v>
      </c>
      <c r="B16" s="23"/>
      <c r="C16" s="16"/>
      <c r="D16" s="16"/>
      <c r="E16" s="16"/>
      <c r="F16" s="10"/>
      <c r="G16" s="11"/>
      <c r="H16" s="11"/>
      <c r="I16" s="156"/>
      <c r="J16" s="17"/>
      <c r="K16" s="168"/>
      <c r="L16" s="167"/>
      <c r="M16" s="14"/>
      <c r="N16" s="26"/>
      <c r="O16" s="166"/>
      <c r="P16" s="26"/>
      <c r="Q16" s="104"/>
      <c r="R16" s="104"/>
      <c r="S16" s="105"/>
      <c r="T16" s="109"/>
    </row>
    <row r="17" spans="1:20" ht="27" customHeight="1">
      <c r="A17" s="2">
        <f t="shared" si="0"/>
        <v>12</v>
      </c>
      <c r="B17" s="23"/>
      <c r="C17" s="162"/>
      <c r="D17" s="162"/>
      <c r="E17" s="16"/>
      <c r="F17" s="10"/>
      <c r="G17" s="11"/>
      <c r="H17" s="11"/>
      <c r="I17" s="156"/>
      <c r="J17" s="17"/>
      <c r="K17" s="168"/>
      <c r="L17" s="167"/>
      <c r="M17" s="14"/>
      <c r="N17" s="26"/>
      <c r="O17" s="166"/>
      <c r="P17" s="26"/>
      <c r="Q17" s="104"/>
      <c r="R17" s="104"/>
      <c r="S17" s="105"/>
      <c r="T17" s="109"/>
    </row>
    <row r="18" spans="1:20" ht="27" customHeight="1">
      <c r="A18" s="2">
        <f t="shared" si="0"/>
        <v>13</v>
      </c>
      <c r="B18" s="23"/>
      <c r="C18" s="162"/>
      <c r="D18" s="162"/>
      <c r="E18" s="169"/>
      <c r="F18" s="10"/>
      <c r="G18" s="11"/>
      <c r="H18" s="11"/>
      <c r="I18" s="156"/>
      <c r="J18" s="17"/>
      <c r="K18" s="168"/>
      <c r="L18" s="167"/>
      <c r="M18" s="14"/>
      <c r="N18" s="26"/>
      <c r="O18" s="166"/>
      <c r="P18" s="26"/>
      <c r="Q18" s="104"/>
      <c r="R18" s="104"/>
      <c r="S18" s="105"/>
      <c r="T18" s="109"/>
    </row>
    <row r="19" spans="1:20" ht="27" customHeight="1">
      <c r="A19" s="2">
        <f t="shared" si="0"/>
        <v>14</v>
      </c>
      <c r="B19" s="23"/>
      <c r="C19" s="162"/>
      <c r="D19" s="162"/>
      <c r="E19" s="169"/>
      <c r="F19" s="10"/>
      <c r="G19" s="11"/>
      <c r="H19" s="11"/>
      <c r="I19" s="156"/>
      <c r="J19" s="17"/>
      <c r="K19" s="168"/>
      <c r="L19" s="167"/>
      <c r="M19" s="14"/>
      <c r="N19" s="26"/>
      <c r="O19" s="166"/>
      <c r="P19" s="26"/>
      <c r="Q19" s="104"/>
      <c r="R19" s="104"/>
      <c r="S19" s="105"/>
      <c r="T19" s="109"/>
    </row>
    <row r="20" spans="1:20" ht="27" customHeight="1">
      <c r="A20" s="2">
        <f t="shared" si="0"/>
        <v>15</v>
      </c>
      <c r="B20" s="23"/>
      <c r="C20" s="16"/>
      <c r="D20" s="16"/>
      <c r="E20" s="169"/>
      <c r="F20" s="10"/>
      <c r="G20" s="11"/>
      <c r="H20" s="11"/>
      <c r="I20" s="156"/>
      <c r="J20" s="17"/>
      <c r="K20" s="17"/>
      <c r="L20" s="18"/>
      <c r="M20" s="14"/>
      <c r="N20" s="26"/>
      <c r="O20" s="63"/>
      <c r="P20" s="26"/>
      <c r="Q20" s="104"/>
      <c r="R20" s="104"/>
      <c r="S20" s="105"/>
      <c r="T20" s="109"/>
    </row>
    <row r="21" spans="1:20" ht="27" customHeight="1">
      <c r="A21" s="2">
        <f t="shared" si="0"/>
        <v>16</v>
      </c>
      <c r="B21" s="23"/>
      <c r="C21" s="162"/>
      <c r="D21" s="16"/>
      <c r="E21" s="16"/>
      <c r="F21" s="10"/>
      <c r="G21" s="11"/>
      <c r="H21" s="11"/>
      <c r="I21" s="156"/>
      <c r="J21" s="17"/>
      <c r="K21" s="17"/>
      <c r="L21" s="18"/>
      <c r="M21" s="14"/>
      <c r="N21" s="26"/>
      <c r="O21" s="166"/>
      <c r="P21" s="26"/>
      <c r="Q21" s="212"/>
      <c r="R21" s="212"/>
      <c r="S21" s="105"/>
      <c r="T21" s="109"/>
    </row>
    <row r="22" spans="1:20" ht="27" customHeight="1">
      <c r="A22" s="2">
        <f t="shared" si="0"/>
        <v>17</v>
      </c>
      <c r="B22" s="23"/>
      <c r="C22" s="162"/>
      <c r="D22" s="16"/>
      <c r="E22" s="16"/>
      <c r="F22" s="10"/>
      <c r="G22" s="11"/>
      <c r="H22" s="11"/>
      <c r="I22" s="156"/>
      <c r="J22" s="17"/>
      <c r="K22" s="17"/>
      <c r="L22" s="18"/>
      <c r="M22" s="14"/>
      <c r="N22" s="26"/>
      <c r="O22" s="166"/>
      <c r="P22" s="26"/>
      <c r="Q22" s="212"/>
      <c r="R22" s="212"/>
      <c r="S22" s="105"/>
      <c r="T22" s="109"/>
    </row>
    <row r="23" spans="1:20" ht="27" customHeight="1">
      <c r="A23" s="2">
        <f t="shared" si="0"/>
        <v>18</v>
      </c>
      <c r="B23" s="57"/>
      <c r="C23" s="169"/>
      <c r="D23" s="169"/>
      <c r="E23" s="169"/>
      <c r="F23" s="170"/>
      <c r="G23" s="58"/>
      <c r="H23" s="58"/>
      <c r="I23" s="221"/>
      <c r="J23" s="17"/>
      <c r="K23" s="172"/>
      <c r="L23" s="171"/>
      <c r="M23" s="173"/>
      <c r="N23" s="59"/>
      <c r="O23" s="222"/>
      <c r="P23" s="59"/>
      <c r="Q23" s="212"/>
      <c r="R23" s="212"/>
      <c r="S23" s="105"/>
      <c r="T23" s="109"/>
    </row>
    <row r="24" spans="1:20" ht="27" customHeight="1">
      <c r="A24" s="2">
        <f t="shared" si="0"/>
        <v>19</v>
      </c>
      <c r="B24" s="57"/>
      <c r="C24" s="16"/>
      <c r="D24" s="16"/>
      <c r="E24" s="16"/>
      <c r="F24" s="10"/>
      <c r="G24" s="58"/>
      <c r="H24" s="11"/>
      <c r="I24" s="156"/>
      <c r="J24" s="17"/>
      <c r="K24" s="17"/>
      <c r="L24" s="18"/>
      <c r="M24" s="14"/>
      <c r="N24" s="26"/>
      <c r="O24" s="63"/>
      <c r="P24" s="59"/>
      <c r="Q24" s="212"/>
      <c r="R24" s="212"/>
      <c r="S24" s="105"/>
      <c r="T24" s="109"/>
    </row>
    <row r="25" spans="1:20" ht="27" customHeight="1">
      <c r="A25" s="2">
        <f t="shared" si="0"/>
        <v>20</v>
      </c>
      <c r="B25" s="57"/>
      <c r="C25" s="16"/>
      <c r="D25" s="16"/>
      <c r="E25" s="16"/>
      <c r="F25" s="10"/>
      <c r="G25" s="58"/>
      <c r="H25" s="11"/>
      <c r="I25" s="156"/>
      <c r="J25" s="17"/>
      <c r="K25" s="17"/>
      <c r="L25" s="18"/>
      <c r="M25" s="14"/>
      <c r="N25" s="26"/>
      <c r="O25" s="63"/>
      <c r="P25" s="59"/>
      <c r="Q25" s="212"/>
      <c r="R25" s="212"/>
      <c r="S25" s="105"/>
      <c r="T25" s="109"/>
    </row>
    <row r="26" spans="1:20" ht="27" customHeight="1">
      <c r="A26" s="2">
        <f t="shared" si="0"/>
        <v>21</v>
      </c>
      <c r="B26" s="57"/>
      <c r="C26" s="16"/>
      <c r="D26" s="16"/>
      <c r="E26" s="16"/>
      <c r="F26" s="10"/>
      <c r="G26" s="58"/>
      <c r="H26" s="11"/>
      <c r="I26" s="156"/>
      <c r="J26" s="17"/>
      <c r="K26" s="17"/>
      <c r="L26" s="18"/>
      <c r="M26" s="14"/>
      <c r="N26" s="26"/>
      <c r="O26" s="63"/>
      <c r="P26" s="59"/>
      <c r="Q26" s="212"/>
      <c r="R26" s="212"/>
      <c r="S26" s="105"/>
      <c r="T26" s="109"/>
    </row>
    <row r="27" spans="1:20" ht="27" customHeight="1">
      <c r="A27" s="2">
        <f t="shared" si="0"/>
        <v>22</v>
      </c>
      <c r="B27" s="57"/>
      <c r="C27" s="16"/>
      <c r="D27" s="16"/>
      <c r="E27" s="16"/>
      <c r="F27" s="10"/>
      <c r="G27" s="58"/>
      <c r="H27" s="11"/>
      <c r="I27" s="156"/>
      <c r="J27" s="17"/>
      <c r="K27" s="17"/>
      <c r="L27" s="18"/>
      <c r="M27" s="14"/>
      <c r="N27" s="26"/>
      <c r="O27" s="63"/>
      <c r="P27" s="59"/>
      <c r="Q27" s="212"/>
      <c r="R27" s="212"/>
      <c r="S27" s="105"/>
      <c r="T27" s="109"/>
    </row>
    <row r="28" spans="1:20" ht="27" customHeight="1">
      <c r="A28" s="2">
        <f t="shared" si="0"/>
        <v>23</v>
      </c>
      <c r="B28" s="57"/>
      <c r="C28" s="16"/>
      <c r="D28" s="16"/>
      <c r="E28" s="16"/>
      <c r="F28" s="10"/>
      <c r="G28" s="58"/>
      <c r="H28" s="11"/>
      <c r="I28" s="156"/>
      <c r="J28" s="17"/>
      <c r="K28" s="17"/>
      <c r="L28" s="18"/>
      <c r="M28" s="14"/>
      <c r="N28" s="26"/>
      <c r="O28" s="63"/>
      <c r="P28" s="59"/>
      <c r="Q28" s="212"/>
      <c r="R28" s="212"/>
      <c r="S28" s="105"/>
      <c r="T28" s="109"/>
    </row>
    <row r="29" spans="1:20" ht="27" customHeight="1">
      <c r="A29" s="2">
        <f t="shared" si="0"/>
        <v>24</v>
      </c>
      <c r="B29" s="57"/>
      <c r="C29" s="16"/>
      <c r="D29" s="16"/>
      <c r="E29" s="16"/>
      <c r="F29" s="10"/>
      <c r="G29" s="58"/>
      <c r="H29" s="11"/>
      <c r="I29" s="156"/>
      <c r="J29" s="17"/>
      <c r="K29" s="17"/>
      <c r="L29" s="18"/>
      <c r="M29" s="14"/>
      <c r="N29" s="26"/>
      <c r="O29" s="63"/>
      <c r="P29" s="59"/>
      <c r="Q29" s="212"/>
      <c r="R29" s="212"/>
      <c r="S29" s="105"/>
      <c r="T29" s="109"/>
    </row>
    <row r="30" spans="1:20" ht="27" customHeight="1">
      <c r="A30" s="2">
        <f t="shared" si="0"/>
        <v>25</v>
      </c>
      <c r="B30" s="57"/>
      <c r="C30" s="16"/>
      <c r="D30" s="16"/>
      <c r="E30" s="16"/>
      <c r="F30" s="10"/>
      <c r="G30" s="58"/>
      <c r="H30" s="11"/>
      <c r="I30" s="156"/>
      <c r="J30" s="17"/>
      <c r="K30" s="17"/>
      <c r="L30" s="18"/>
      <c r="M30" s="14"/>
      <c r="N30" s="26"/>
      <c r="O30" s="63"/>
      <c r="P30" s="59"/>
      <c r="Q30" s="212"/>
      <c r="R30" s="212"/>
      <c r="S30" s="105"/>
      <c r="T30" s="109"/>
    </row>
    <row r="31" spans="1:20" ht="27" customHeight="1">
      <c r="A31" s="2">
        <f t="shared" si="0"/>
        <v>26</v>
      </c>
      <c r="B31" s="57"/>
      <c r="C31" s="16"/>
      <c r="D31" s="16"/>
      <c r="E31" s="16"/>
      <c r="F31" s="10"/>
      <c r="G31" s="58"/>
      <c r="H31" s="11"/>
      <c r="I31" s="156"/>
      <c r="J31" s="17"/>
      <c r="K31" s="17"/>
      <c r="L31" s="18"/>
      <c r="M31" s="14"/>
      <c r="N31" s="26"/>
      <c r="O31" s="63"/>
      <c r="P31" s="59"/>
      <c r="Q31" s="212"/>
      <c r="R31" s="212"/>
      <c r="S31" s="105"/>
      <c r="T31" s="109"/>
    </row>
    <row r="32" spans="1:20" ht="27" customHeight="1">
      <c r="A32" s="2">
        <f t="shared" si="0"/>
        <v>27</v>
      </c>
      <c r="B32" s="57"/>
      <c r="C32" s="16"/>
      <c r="D32" s="16"/>
      <c r="E32" s="16"/>
      <c r="F32" s="10"/>
      <c r="G32" s="58"/>
      <c r="H32" s="11"/>
      <c r="I32" s="156"/>
      <c r="J32" s="17"/>
      <c r="K32" s="17"/>
      <c r="L32" s="18"/>
      <c r="M32" s="14"/>
      <c r="N32" s="26"/>
      <c r="O32" s="63"/>
      <c r="P32" s="59"/>
      <c r="Q32" s="212"/>
      <c r="R32" s="212"/>
      <c r="S32" s="105"/>
      <c r="T32" s="109"/>
    </row>
    <row r="33" spans="1:20" ht="27" customHeight="1">
      <c r="A33" s="2">
        <f t="shared" si="0"/>
        <v>28</v>
      </c>
      <c r="B33" s="57"/>
      <c r="C33" s="16"/>
      <c r="D33" s="16"/>
      <c r="E33" s="16"/>
      <c r="F33" s="10"/>
      <c r="G33" s="58"/>
      <c r="H33" s="11"/>
      <c r="I33" s="156"/>
      <c r="J33" s="17"/>
      <c r="K33" s="17"/>
      <c r="L33" s="18"/>
      <c r="M33" s="14"/>
      <c r="N33" s="26"/>
      <c r="O33" s="63"/>
      <c r="P33" s="59"/>
      <c r="Q33" s="212"/>
      <c r="R33" s="212"/>
      <c r="S33" s="105"/>
      <c r="T33" s="109"/>
    </row>
    <row r="34" spans="1:20" ht="27" customHeight="1">
      <c r="A34" s="2">
        <f t="shared" si="0"/>
        <v>29</v>
      </c>
      <c r="B34" s="57"/>
      <c r="C34" s="16"/>
      <c r="D34" s="16"/>
      <c r="E34" s="16"/>
      <c r="F34" s="10"/>
      <c r="G34" s="58"/>
      <c r="H34" s="11"/>
      <c r="I34" s="156"/>
      <c r="J34" s="17"/>
      <c r="K34" s="17"/>
      <c r="L34" s="18"/>
      <c r="M34" s="14"/>
      <c r="N34" s="26"/>
      <c r="O34" s="63"/>
      <c r="P34" s="59"/>
      <c r="Q34" s="212"/>
      <c r="R34" s="212"/>
      <c r="S34" s="105"/>
      <c r="T34" s="109"/>
    </row>
    <row r="35" spans="1:20" ht="27" customHeight="1">
      <c r="A35" s="2">
        <f t="shared" si="0"/>
        <v>30</v>
      </c>
      <c r="B35" s="57"/>
      <c r="C35" s="16"/>
      <c r="D35" s="16"/>
      <c r="E35" s="16"/>
      <c r="F35" s="10"/>
      <c r="G35" s="58"/>
      <c r="H35" s="11"/>
      <c r="I35" s="156"/>
      <c r="J35" s="17"/>
      <c r="K35" s="17"/>
      <c r="L35" s="18"/>
      <c r="M35" s="14"/>
      <c r="N35" s="26"/>
      <c r="O35" s="63"/>
      <c r="P35" s="59"/>
      <c r="Q35" s="212"/>
      <c r="R35" s="212"/>
      <c r="S35" s="105"/>
      <c r="T35" s="109"/>
    </row>
    <row r="36" spans="1:20" ht="27" customHeight="1">
      <c r="A36" s="2">
        <f t="shared" si="0"/>
        <v>31</v>
      </c>
      <c r="B36" s="57"/>
      <c r="C36" s="16"/>
      <c r="D36" s="16"/>
      <c r="E36" s="16"/>
      <c r="F36" s="10"/>
      <c r="G36" s="58"/>
      <c r="H36" s="11"/>
      <c r="I36" s="156"/>
      <c r="J36" s="17"/>
      <c r="K36" s="17"/>
      <c r="L36" s="18"/>
      <c r="M36" s="14"/>
      <c r="N36" s="26"/>
      <c r="O36" s="63"/>
      <c r="P36" s="59"/>
      <c r="Q36" s="212"/>
      <c r="R36" s="212"/>
      <c r="S36" s="105"/>
      <c r="T36" s="109"/>
    </row>
    <row r="37" spans="1:20" ht="27" customHeight="1">
      <c r="A37" s="2">
        <f t="shared" si="0"/>
        <v>32</v>
      </c>
      <c r="B37" s="57"/>
      <c r="C37" s="16"/>
      <c r="D37" s="16"/>
      <c r="E37" s="16"/>
      <c r="F37" s="10"/>
      <c r="G37" s="58"/>
      <c r="H37" s="11"/>
      <c r="I37" s="156"/>
      <c r="J37" s="17"/>
      <c r="K37" s="17"/>
      <c r="L37" s="18"/>
      <c r="M37" s="14"/>
      <c r="N37" s="26"/>
      <c r="O37" s="63"/>
      <c r="P37" s="59"/>
      <c r="Q37" s="212"/>
      <c r="R37" s="212"/>
      <c r="S37" s="105"/>
      <c r="T37" s="109"/>
    </row>
    <row r="38" spans="1:20" ht="27" customHeight="1">
      <c r="A38" s="2">
        <f t="shared" si="0"/>
        <v>33</v>
      </c>
      <c r="B38" s="57"/>
      <c r="C38" s="16"/>
      <c r="D38" s="16"/>
      <c r="E38" s="16"/>
      <c r="F38" s="10"/>
      <c r="G38" s="58"/>
      <c r="H38" s="11"/>
      <c r="I38" s="156"/>
      <c r="J38" s="17"/>
      <c r="K38" s="17"/>
      <c r="L38" s="18"/>
      <c r="M38" s="14"/>
      <c r="N38" s="26"/>
      <c r="O38" s="63"/>
      <c r="P38" s="59"/>
      <c r="Q38" s="212"/>
      <c r="R38" s="212"/>
      <c r="S38" s="105"/>
      <c r="T38" s="109"/>
    </row>
    <row r="39" spans="1:20" ht="27" customHeight="1">
      <c r="A39" s="2">
        <f t="shared" si="0"/>
        <v>34</v>
      </c>
      <c r="B39" s="57"/>
      <c r="C39" s="16"/>
      <c r="D39" s="16"/>
      <c r="E39" s="16"/>
      <c r="F39" s="10"/>
      <c r="G39" s="58"/>
      <c r="H39" s="11"/>
      <c r="I39" s="156"/>
      <c r="J39" s="17"/>
      <c r="K39" s="17"/>
      <c r="L39" s="18"/>
      <c r="M39" s="14"/>
      <c r="N39" s="26"/>
      <c r="O39" s="63"/>
      <c r="P39" s="59"/>
      <c r="Q39" s="212"/>
      <c r="R39" s="212"/>
      <c r="S39" s="105"/>
      <c r="T39" s="109"/>
    </row>
    <row r="40" spans="1:20" ht="27" customHeight="1">
      <c r="A40" s="2">
        <f t="shared" si="0"/>
        <v>35</v>
      </c>
      <c r="B40" s="57"/>
      <c r="C40" s="16"/>
      <c r="D40" s="16"/>
      <c r="E40" s="16"/>
      <c r="F40" s="10"/>
      <c r="G40" s="58"/>
      <c r="H40" s="11"/>
      <c r="I40" s="156"/>
      <c r="J40" s="17"/>
      <c r="K40" s="17"/>
      <c r="L40" s="18"/>
      <c r="M40" s="14"/>
      <c r="N40" s="26"/>
      <c r="O40" s="63"/>
      <c r="P40" s="59"/>
      <c r="Q40" s="212"/>
      <c r="R40" s="212"/>
      <c r="S40" s="105"/>
      <c r="T40" s="109"/>
    </row>
  </sheetData>
  <sheetProtection selectLockedCells="1" selectUnlockedCells="1"/>
  <mergeCells count="8">
    <mergeCell ref="A1:T1"/>
    <mergeCell ref="A2:T2"/>
    <mergeCell ref="T4:T5"/>
    <mergeCell ref="A4:A5"/>
    <mergeCell ref="B4:B5"/>
    <mergeCell ref="C4:H4"/>
    <mergeCell ref="Q4:S4"/>
    <mergeCell ref="I4:P4"/>
  </mergeCells>
  <dataValidations count="4">
    <dataValidation type="list" allowBlank="1" showInputMessage="1" showErrorMessage="1" sqref="K6:K40">
      <formula1>Районор</formula1>
    </dataValidation>
    <dataValidation type="list" allowBlank="1" showInputMessage="1" showErrorMessage="1" sqref="L6:L40 E6:E40">
      <formula1>Районадм</formula1>
    </dataValidation>
    <dataValidation type="list" allowBlank="1" showInputMessage="1" showErrorMessage="1" sqref="R6:R40 I6:I40">
      <formula1>Категориясложности</formula1>
    </dataValidation>
    <dataValidation type="list" allowBlank="1" showInputMessage="1" showErrorMessage="1" sqref="J6:J40">
      <formula1>Вид_туризма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rgb="FFC00000"/>
  </sheetPr>
  <dimension ref="A1:V128"/>
  <sheetViews>
    <sheetView zoomScalePageLayoutView="0" workbookViewId="0" topLeftCell="A1">
      <selection activeCell="T120" sqref="T120"/>
    </sheetView>
  </sheetViews>
  <sheetFormatPr defaultColWidth="9.00390625" defaultRowHeight="12.75"/>
  <cols>
    <col min="1" max="1" width="24.125" style="30" customWidth="1"/>
    <col min="2" max="2" width="5.00390625" style="30" customWidth="1"/>
    <col min="3" max="3" width="8.875" style="30" customWidth="1"/>
    <col min="4" max="4" width="7.375" style="30" customWidth="1"/>
    <col min="5" max="5" width="4.75390625" style="30" customWidth="1"/>
    <col min="6" max="6" width="8.875" style="30" customWidth="1"/>
    <col min="7" max="7" width="7.375" style="30" customWidth="1"/>
    <col min="8" max="8" width="4.75390625" style="30" customWidth="1"/>
    <col min="9" max="9" width="8.875" style="30" customWidth="1"/>
    <col min="10" max="10" width="7.375" style="30" customWidth="1"/>
    <col min="11" max="11" width="4.875" style="30" customWidth="1"/>
    <col min="12" max="12" width="8.875" style="30" customWidth="1"/>
    <col min="13" max="13" width="7.25390625" style="30" customWidth="1"/>
    <col min="14" max="14" width="4.875" style="30" customWidth="1"/>
    <col min="15" max="15" width="9.25390625" style="30" customWidth="1"/>
    <col min="16" max="16" width="7.625" style="30" customWidth="1"/>
    <col min="17" max="17" width="9.875" style="30" customWidth="1"/>
    <col min="18" max="18" width="7.25390625" style="30" customWidth="1"/>
    <col min="19" max="19" width="9.125" style="30" customWidth="1"/>
    <col min="20" max="20" width="4.75390625" style="30" customWidth="1"/>
    <col min="21" max="16384" width="9.125" style="30" customWidth="1"/>
  </cols>
  <sheetData>
    <row r="1" spans="1:19" ht="16.5" customHeight="1">
      <c r="A1" s="301" t="s">
        <v>103</v>
      </c>
      <c r="B1" s="301"/>
      <c r="C1" s="301"/>
      <c r="D1" s="301"/>
      <c r="E1" s="301"/>
      <c r="F1" s="301"/>
      <c r="G1" s="301"/>
      <c r="H1" s="301"/>
      <c r="I1" s="118"/>
      <c r="J1" s="75">
        <f ca="1">YEAR(TODAY())</f>
        <v>2024</v>
      </c>
      <c r="K1" s="28" t="s">
        <v>102</v>
      </c>
      <c r="L1" s="28"/>
      <c r="P1" s="39"/>
      <c r="Q1" s="39"/>
      <c r="R1" s="28"/>
      <c r="S1" s="29"/>
    </row>
    <row r="2" spans="1:19" ht="13.5" customHeight="1">
      <c r="A2" s="302" t="s">
        <v>116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29"/>
    </row>
    <row r="3" spans="1:19" ht="15.75" customHeight="1">
      <c r="A3" s="303" t="str">
        <f>'Заполнить !'!B2</f>
        <v>МКК ГАУДО "КУЗБАССКИЙ ЦЕНТР ДЕТСКОГО И ЮНОШЕСКОГО ТУРИЗМА И ЭКСКУРСИЙ" 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29"/>
    </row>
    <row r="4" spans="1:7" ht="13.5" customHeight="1">
      <c r="A4" s="306" t="s">
        <v>104</v>
      </c>
      <c r="B4" s="306"/>
      <c r="C4" s="120"/>
      <c r="D4" s="87" t="str">
        <f>'Заполнить !'!B3</f>
        <v>242-51-434310000</v>
      </c>
      <c r="E4" s="88"/>
      <c r="F4" s="88"/>
      <c r="G4" s="88"/>
    </row>
    <row r="5" spans="1:18" ht="13.5" customHeight="1">
      <c r="A5" s="305" t="s">
        <v>105</v>
      </c>
      <c r="B5" s="305"/>
      <c r="C5" s="119"/>
      <c r="D5" s="304" t="str">
        <f>'Заполнить !'!B4</f>
        <v>декабрь 2025 г.</v>
      </c>
      <c r="E5" s="304"/>
      <c r="F5" s="304"/>
      <c r="G5" s="304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ht="12.75">
      <c r="A6" s="41" t="s">
        <v>106</v>
      </c>
    </row>
    <row r="7" ht="13.5" thickBot="1"/>
    <row r="8" spans="1:18" ht="12.75" customHeight="1" thickBot="1">
      <c r="A8" s="307" t="s">
        <v>18</v>
      </c>
      <c r="B8" s="309" t="s">
        <v>90</v>
      </c>
      <c r="C8" s="310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2"/>
      <c r="P8" s="313"/>
      <c r="Q8" s="327" t="s">
        <v>91</v>
      </c>
      <c r="R8" s="329" t="s">
        <v>192</v>
      </c>
    </row>
    <row r="9" spans="1:18" ht="40.5" customHeight="1" thickBot="1">
      <c r="A9" s="308"/>
      <c r="B9" s="43" t="s">
        <v>93</v>
      </c>
      <c r="C9" s="153" t="s">
        <v>139</v>
      </c>
      <c r="D9" s="154" t="s">
        <v>94</v>
      </c>
      <c r="E9" s="43" t="s">
        <v>95</v>
      </c>
      <c r="F9" s="153" t="s">
        <v>139</v>
      </c>
      <c r="G9" s="154" t="s">
        <v>94</v>
      </c>
      <c r="H9" s="43" t="s">
        <v>96</v>
      </c>
      <c r="I9" s="153" t="s">
        <v>139</v>
      </c>
      <c r="J9" s="154" t="s">
        <v>94</v>
      </c>
      <c r="K9" s="43" t="s">
        <v>97</v>
      </c>
      <c r="L9" s="153" t="s">
        <v>139</v>
      </c>
      <c r="M9" s="154" t="s">
        <v>94</v>
      </c>
      <c r="N9" s="43" t="s">
        <v>98</v>
      </c>
      <c r="O9" s="153" t="s">
        <v>139</v>
      </c>
      <c r="P9" s="154" t="s">
        <v>94</v>
      </c>
      <c r="Q9" s="328"/>
      <c r="R9" s="330"/>
    </row>
    <row r="10" spans="1:18" ht="12.75" hidden="1">
      <c r="A10" s="239" t="s">
        <v>19</v>
      </c>
      <c r="B10" s="218">
        <f>Сводный!B4</f>
        <v>0</v>
      </c>
      <c r="C10" s="219">
        <f>Сводный!C4</f>
        <v>0</v>
      </c>
      <c r="D10" s="220">
        <f>Сводный!D4</f>
        <v>0</v>
      </c>
      <c r="E10" s="244">
        <f>Сводный!E4</f>
        <v>0</v>
      </c>
      <c r="F10" s="245">
        <f>Сводный!F4</f>
        <v>0</v>
      </c>
      <c r="G10" s="77">
        <f>Сводный!G4</f>
        <v>0</v>
      </c>
      <c r="H10" s="76">
        <f>Сводный!H4</f>
        <v>0</v>
      </c>
      <c r="I10" s="245">
        <f>Сводный!I4</f>
        <v>0</v>
      </c>
      <c r="J10" s="77">
        <f>Сводный!J4</f>
        <v>0</v>
      </c>
      <c r="K10" s="76">
        <f>Сводный!K4</f>
        <v>0</v>
      </c>
      <c r="L10" s="78">
        <f>Сводный!L4</f>
        <v>0</v>
      </c>
      <c r="M10" s="77">
        <f>Сводный!M4</f>
        <v>0</v>
      </c>
      <c r="N10" s="76">
        <f>Сводный!N4</f>
        <v>0</v>
      </c>
      <c r="O10" s="78">
        <f>Сводный!O4</f>
        <v>0</v>
      </c>
      <c r="P10" s="77">
        <f>Сводный!P4</f>
        <v>0</v>
      </c>
      <c r="Q10" s="78">
        <f aca="true" t="shared" si="0" ref="Q10:Q16">B10+E10+H10+K10+N10</f>
        <v>0</v>
      </c>
      <c r="R10" s="79">
        <f aca="true" t="shared" si="1" ref="R10:R16">D10+G10+J10+M10+P10</f>
        <v>0</v>
      </c>
    </row>
    <row r="11" spans="1:18" ht="12.75" hidden="1">
      <c r="A11" s="240" t="s">
        <v>9</v>
      </c>
      <c r="B11" s="76">
        <f>Сводный!B5</f>
        <v>0</v>
      </c>
      <c r="C11" s="78">
        <f>Сводный!C5</f>
        <v>0</v>
      </c>
      <c r="D11" s="77">
        <f>Сводный!D5</f>
        <v>0</v>
      </c>
      <c r="E11" s="244">
        <f>Сводный!E5</f>
        <v>0</v>
      </c>
      <c r="F11" s="245">
        <f>Сводный!F5</f>
        <v>0</v>
      </c>
      <c r="G11" s="77">
        <f>Сводный!G5</f>
        <v>0</v>
      </c>
      <c r="H11" s="76">
        <f>Сводный!H5</f>
        <v>0</v>
      </c>
      <c r="I11" s="245">
        <f>Сводный!I5</f>
        <v>0</v>
      </c>
      <c r="J11" s="77">
        <f>Сводный!J5</f>
        <v>0</v>
      </c>
      <c r="K11" s="76">
        <f>Сводный!K5</f>
        <v>0</v>
      </c>
      <c r="L11" s="78">
        <f>Сводный!L5</f>
        <v>0</v>
      </c>
      <c r="M11" s="77">
        <f>Сводный!M5</f>
        <v>0</v>
      </c>
      <c r="N11" s="76">
        <f>Сводный!N5</f>
        <v>0</v>
      </c>
      <c r="O11" s="78">
        <f>Сводный!O5</f>
        <v>0</v>
      </c>
      <c r="P11" s="77">
        <f>Сводный!P5</f>
        <v>0</v>
      </c>
      <c r="Q11" s="78">
        <f t="shared" si="0"/>
        <v>0</v>
      </c>
      <c r="R11" s="79">
        <f t="shared" si="1"/>
        <v>0</v>
      </c>
    </row>
    <row r="12" spans="1:18" ht="12.75" hidden="1">
      <c r="A12" s="240" t="s">
        <v>7</v>
      </c>
      <c r="B12" s="76">
        <f>Сводный!B6</f>
        <v>0</v>
      </c>
      <c r="C12" s="78">
        <f>Сводный!C6</f>
        <v>0</v>
      </c>
      <c r="D12" s="77">
        <f>Сводный!D6</f>
        <v>0</v>
      </c>
      <c r="E12" s="244">
        <f>Сводный!E6</f>
        <v>0</v>
      </c>
      <c r="F12" s="245">
        <f>Сводный!F6</f>
        <v>0</v>
      </c>
      <c r="G12" s="77">
        <f>Сводный!G6</f>
        <v>0</v>
      </c>
      <c r="H12" s="76">
        <f>Сводный!H6</f>
        <v>0</v>
      </c>
      <c r="I12" s="245">
        <f>Сводный!I6</f>
        <v>0</v>
      </c>
      <c r="J12" s="77">
        <f>Сводный!J6</f>
        <v>0</v>
      </c>
      <c r="K12" s="76">
        <f>Сводный!K6</f>
        <v>0</v>
      </c>
      <c r="L12" s="78">
        <f>Сводный!L6</f>
        <v>0</v>
      </c>
      <c r="M12" s="77">
        <f>Сводный!M6</f>
        <v>0</v>
      </c>
      <c r="N12" s="76">
        <f>Сводный!N6</f>
        <v>0</v>
      </c>
      <c r="O12" s="78">
        <f>Сводный!O6</f>
        <v>0</v>
      </c>
      <c r="P12" s="77">
        <f>Сводный!P6</f>
        <v>0</v>
      </c>
      <c r="Q12" s="78">
        <f t="shared" si="0"/>
        <v>0</v>
      </c>
      <c r="R12" s="79">
        <f t="shared" si="1"/>
        <v>0</v>
      </c>
    </row>
    <row r="13" spans="1:18" ht="12.75" hidden="1">
      <c r="A13" s="240" t="s">
        <v>6</v>
      </c>
      <c r="B13" s="76">
        <f>Сводный!B7</f>
        <v>0</v>
      </c>
      <c r="C13" s="78">
        <f>Сводный!C7</f>
        <v>0</v>
      </c>
      <c r="D13" s="77">
        <f>Сводный!D7</f>
        <v>0</v>
      </c>
      <c r="E13" s="244">
        <f>Сводный!E7</f>
        <v>0</v>
      </c>
      <c r="F13" s="245">
        <f>Сводный!F7</f>
        <v>0</v>
      </c>
      <c r="G13" s="77">
        <f>Сводный!G7</f>
        <v>0</v>
      </c>
      <c r="H13" s="76">
        <f>Сводный!H7</f>
        <v>0</v>
      </c>
      <c r="I13" s="245">
        <f>Сводный!I7</f>
        <v>0</v>
      </c>
      <c r="J13" s="77">
        <f>Сводный!J7</f>
        <v>0</v>
      </c>
      <c r="K13" s="76">
        <f>Сводный!K7</f>
        <v>0</v>
      </c>
      <c r="L13" s="78">
        <f>Сводный!L7</f>
        <v>0</v>
      </c>
      <c r="M13" s="77">
        <f>Сводный!M7</f>
        <v>0</v>
      </c>
      <c r="N13" s="76">
        <f>Сводный!N7</f>
        <v>0</v>
      </c>
      <c r="O13" s="78">
        <f>Сводный!O7</f>
        <v>0</v>
      </c>
      <c r="P13" s="77">
        <f>Сводный!P7</f>
        <v>0</v>
      </c>
      <c r="Q13" s="78">
        <f t="shared" si="0"/>
        <v>0</v>
      </c>
      <c r="R13" s="79">
        <f t="shared" si="1"/>
        <v>0</v>
      </c>
    </row>
    <row r="14" spans="1:18" ht="12.75" hidden="1">
      <c r="A14" s="240" t="s">
        <v>8</v>
      </c>
      <c r="B14" s="76">
        <f>Сводный!B8</f>
        <v>0</v>
      </c>
      <c r="C14" s="78">
        <f>Сводный!C8</f>
        <v>0</v>
      </c>
      <c r="D14" s="77">
        <f>Сводный!D8</f>
        <v>0</v>
      </c>
      <c r="E14" s="244">
        <f>Сводный!E8</f>
        <v>0</v>
      </c>
      <c r="F14" s="245">
        <f>Сводный!F8</f>
        <v>0</v>
      </c>
      <c r="G14" s="77">
        <f>Сводный!G8</f>
        <v>0</v>
      </c>
      <c r="H14" s="76">
        <f>Сводный!H8</f>
        <v>0</v>
      </c>
      <c r="I14" s="245">
        <f>Сводный!I8</f>
        <v>0</v>
      </c>
      <c r="J14" s="77">
        <f>Сводный!J8</f>
        <v>0</v>
      </c>
      <c r="K14" s="76">
        <f>Сводный!K8</f>
        <v>0</v>
      </c>
      <c r="L14" s="78">
        <f>Сводный!L8</f>
        <v>0</v>
      </c>
      <c r="M14" s="77">
        <f>Сводный!M8</f>
        <v>0</v>
      </c>
      <c r="N14" s="76">
        <f>Сводный!N8</f>
        <v>0</v>
      </c>
      <c r="O14" s="78">
        <f>Сводный!O8</f>
        <v>0</v>
      </c>
      <c r="P14" s="77">
        <f>Сводный!P8</f>
        <v>0</v>
      </c>
      <c r="Q14" s="78">
        <f t="shared" si="0"/>
        <v>0</v>
      </c>
      <c r="R14" s="79">
        <f t="shared" si="1"/>
        <v>0</v>
      </c>
    </row>
    <row r="15" spans="1:18" ht="12.75" hidden="1">
      <c r="A15" s="240" t="s">
        <v>176</v>
      </c>
      <c r="B15" s="76">
        <f>Сводный!B9</f>
        <v>0</v>
      </c>
      <c r="C15" s="78">
        <f>Сводный!C9</f>
        <v>0</v>
      </c>
      <c r="D15" s="77">
        <f>Сводный!D9</f>
        <v>0</v>
      </c>
      <c r="E15" s="244">
        <f>Сводный!E9</f>
        <v>0</v>
      </c>
      <c r="F15" s="245">
        <f>Сводный!F9</f>
        <v>0</v>
      </c>
      <c r="G15" s="77">
        <f>Сводный!G9</f>
        <v>0</v>
      </c>
      <c r="H15" s="76">
        <f>Сводный!H9</f>
        <v>0</v>
      </c>
      <c r="I15" s="245">
        <f>Сводный!I9</f>
        <v>0</v>
      </c>
      <c r="J15" s="77">
        <f>Сводный!J9</f>
        <v>0</v>
      </c>
      <c r="K15" s="76">
        <f>Сводный!K9</f>
        <v>0</v>
      </c>
      <c r="L15" s="78">
        <f>Сводный!L9</f>
        <v>0</v>
      </c>
      <c r="M15" s="77">
        <f>Сводный!M9</f>
        <v>0</v>
      </c>
      <c r="N15" s="76">
        <f>Сводный!N9</f>
        <v>0</v>
      </c>
      <c r="O15" s="78">
        <f>Сводный!O9</f>
        <v>0</v>
      </c>
      <c r="P15" s="77">
        <f>Сводный!P9</f>
        <v>0</v>
      </c>
      <c r="Q15" s="78">
        <f t="shared" si="0"/>
        <v>0</v>
      </c>
      <c r="R15" s="79">
        <f t="shared" si="1"/>
        <v>0</v>
      </c>
    </row>
    <row r="16" spans="1:18" ht="13.5" hidden="1" thickBot="1">
      <c r="A16" s="241" t="s">
        <v>196</v>
      </c>
      <c r="B16" s="237">
        <f>Сводный!B10</f>
        <v>0</v>
      </c>
      <c r="C16" s="235">
        <f>Сводный!C10</f>
        <v>0</v>
      </c>
      <c r="D16" s="236">
        <f>Сводный!D10</f>
        <v>0</v>
      </c>
      <c r="E16" s="244">
        <f>Сводный!E10</f>
        <v>0</v>
      </c>
      <c r="F16" s="245">
        <f>Сводный!F10</f>
        <v>0</v>
      </c>
      <c r="G16" s="77">
        <f>Сводный!G10</f>
        <v>0</v>
      </c>
      <c r="H16" s="76">
        <f>Сводный!H10</f>
        <v>0</v>
      </c>
      <c r="I16" s="245">
        <f>Сводный!I10</f>
        <v>0</v>
      </c>
      <c r="J16" s="77">
        <f>Сводный!J10</f>
        <v>0</v>
      </c>
      <c r="K16" s="76">
        <f>Сводный!K10</f>
        <v>0</v>
      </c>
      <c r="L16" s="78">
        <f>Сводный!L10</f>
        <v>0</v>
      </c>
      <c r="M16" s="77">
        <f>Сводный!M10</f>
        <v>0</v>
      </c>
      <c r="N16" s="76">
        <f>Сводный!N10</f>
        <v>0</v>
      </c>
      <c r="O16" s="78">
        <f>Сводный!O10</f>
        <v>0</v>
      </c>
      <c r="P16" s="77">
        <f>Сводный!P10</f>
        <v>0</v>
      </c>
      <c r="Q16" s="78">
        <f t="shared" si="0"/>
        <v>0</v>
      </c>
      <c r="R16" s="79">
        <f t="shared" si="1"/>
        <v>0</v>
      </c>
    </row>
    <row r="17" spans="1:18" ht="13.5" hidden="1" thickBot="1">
      <c r="A17" s="238" t="s">
        <v>99</v>
      </c>
      <c r="B17" s="215">
        <f aca="true" t="shared" si="2" ref="B17:R17">SUM(B10:B16)</f>
        <v>0</v>
      </c>
      <c r="C17" s="216">
        <f t="shared" si="2"/>
        <v>0</v>
      </c>
      <c r="D17" s="217">
        <f t="shared" si="2"/>
        <v>0</v>
      </c>
      <c r="E17" s="100">
        <f t="shared" si="2"/>
        <v>0</v>
      </c>
      <c r="F17" s="142">
        <f t="shared" si="2"/>
        <v>0</v>
      </c>
      <c r="G17" s="101">
        <f t="shared" si="2"/>
        <v>0</v>
      </c>
      <c r="H17" s="100">
        <f t="shared" si="2"/>
        <v>0</v>
      </c>
      <c r="I17" s="142">
        <f t="shared" si="2"/>
        <v>0</v>
      </c>
      <c r="J17" s="101">
        <f t="shared" si="2"/>
        <v>0</v>
      </c>
      <c r="K17" s="100">
        <f t="shared" si="2"/>
        <v>0</v>
      </c>
      <c r="L17" s="102">
        <f t="shared" si="2"/>
        <v>0</v>
      </c>
      <c r="M17" s="101">
        <f t="shared" si="2"/>
        <v>0</v>
      </c>
      <c r="N17" s="100">
        <f t="shared" si="2"/>
        <v>0</v>
      </c>
      <c r="O17" s="102">
        <f t="shared" si="2"/>
        <v>0</v>
      </c>
      <c r="P17" s="101">
        <f t="shared" si="2"/>
        <v>0</v>
      </c>
      <c r="Q17" s="102">
        <f t="shared" si="2"/>
        <v>0</v>
      </c>
      <c r="R17" s="103">
        <f t="shared" si="2"/>
        <v>0</v>
      </c>
    </row>
    <row r="18" spans="1:18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33"/>
    </row>
    <row r="19" spans="1:18" ht="12.75">
      <c r="A19" s="123" t="s">
        <v>107</v>
      </c>
      <c r="B19" s="123"/>
      <c r="C19" s="80">
        <f>Сводный!B13</f>
        <v>0</v>
      </c>
      <c r="D19" s="123"/>
      <c r="E19" s="74" t="s">
        <v>168</v>
      </c>
      <c r="H19" s="74"/>
      <c r="I19" s="74"/>
      <c r="J19" s="74"/>
      <c r="K19" s="80">
        <f>Сводный!N13</f>
        <v>0</v>
      </c>
      <c r="M19" s="74" t="s">
        <v>108</v>
      </c>
      <c r="N19" s="74"/>
      <c r="O19" s="74"/>
      <c r="R19" s="80">
        <f>Сводный!H13</f>
        <v>0</v>
      </c>
    </row>
    <row r="20" spans="1:18" ht="12.75">
      <c r="A20" s="123" t="s">
        <v>109</v>
      </c>
      <c r="B20" s="123"/>
      <c r="C20" s="80">
        <f>Сводный!B14</f>
        <v>0</v>
      </c>
      <c r="D20" s="123"/>
      <c r="E20" s="74" t="s">
        <v>169</v>
      </c>
      <c r="H20" s="74"/>
      <c r="I20" s="74"/>
      <c r="J20" s="74"/>
      <c r="K20" s="80">
        <f>Сводный!N14</f>
        <v>0</v>
      </c>
      <c r="M20" s="74" t="s">
        <v>110</v>
      </c>
      <c r="N20" s="74"/>
      <c r="O20" s="74"/>
      <c r="R20" s="80">
        <f>Сводный!H14</f>
        <v>0</v>
      </c>
    </row>
    <row r="21" spans="1:18" ht="12.75">
      <c r="A21" s="42"/>
      <c r="B21" s="42"/>
      <c r="C21" s="4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33"/>
    </row>
    <row r="22" spans="1:18" ht="13.5" customHeight="1">
      <c r="A22" s="306" t="s">
        <v>111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</row>
    <row r="23" spans="1:18" ht="13.5" thickBo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4"/>
      <c r="R23" s="34"/>
    </row>
    <row r="24" spans="1:18" s="36" customFormat="1" ht="18" customHeight="1" thickBot="1">
      <c r="A24" s="314" t="s">
        <v>100</v>
      </c>
      <c r="B24" s="315" t="s">
        <v>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7"/>
      <c r="Q24" s="318" t="s">
        <v>91</v>
      </c>
      <c r="R24" s="329" t="s">
        <v>192</v>
      </c>
    </row>
    <row r="25" spans="1:18" s="36" customFormat="1" ht="40.5" customHeight="1" thickBot="1">
      <c r="A25" s="308"/>
      <c r="B25" s="43" t="s">
        <v>93</v>
      </c>
      <c r="C25" s="153" t="s">
        <v>139</v>
      </c>
      <c r="D25" s="154" t="s">
        <v>94</v>
      </c>
      <c r="E25" s="43" t="s">
        <v>95</v>
      </c>
      <c r="F25" s="153" t="s">
        <v>139</v>
      </c>
      <c r="G25" s="154" t="s">
        <v>94</v>
      </c>
      <c r="H25" s="43" t="s">
        <v>96</v>
      </c>
      <c r="I25" s="153" t="s">
        <v>139</v>
      </c>
      <c r="J25" s="154" t="s">
        <v>94</v>
      </c>
      <c r="K25" s="43" t="s">
        <v>97</v>
      </c>
      <c r="L25" s="153" t="s">
        <v>139</v>
      </c>
      <c r="M25" s="154" t="s">
        <v>94</v>
      </c>
      <c r="N25" s="44" t="s">
        <v>98</v>
      </c>
      <c r="O25" s="153" t="s">
        <v>139</v>
      </c>
      <c r="P25" s="155" t="s">
        <v>94</v>
      </c>
      <c r="Q25" s="319"/>
      <c r="R25" s="330"/>
    </row>
    <row r="26" spans="1:18" s="36" customFormat="1" ht="18" customHeight="1" hidden="1">
      <c r="A26" s="51" t="s">
        <v>42</v>
      </c>
      <c r="B26" s="81">
        <f>Сводный!B17</f>
        <v>0</v>
      </c>
      <c r="C26" s="121">
        <f>Сводный!C17</f>
        <v>0</v>
      </c>
      <c r="D26" s="82">
        <f>Сводный!D17</f>
        <v>0</v>
      </c>
      <c r="E26" s="81">
        <f>Сводный!E17</f>
        <v>0</v>
      </c>
      <c r="F26" s="141">
        <f>Сводный!F17</f>
        <v>0</v>
      </c>
      <c r="G26" s="82">
        <f>Сводный!G17</f>
        <v>0</v>
      </c>
      <c r="H26" s="81">
        <f>Сводный!H17</f>
        <v>0</v>
      </c>
      <c r="I26" s="141">
        <f>Сводный!I17</f>
        <v>0</v>
      </c>
      <c r="J26" s="82">
        <f>Сводный!J17</f>
        <v>0</v>
      </c>
      <c r="K26" s="81">
        <f>Сводный!K17</f>
        <v>0</v>
      </c>
      <c r="L26" s="121">
        <f>Сводный!L17</f>
        <v>0</v>
      </c>
      <c r="M26" s="82">
        <f>Сводный!M17</f>
        <v>0</v>
      </c>
      <c r="N26" s="83">
        <f>Сводный!N17</f>
        <v>0</v>
      </c>
      <c r="O26" s="121">
        <f>Сводный!O17</f>
        <v>0</v>
      </c>
      <c r="P26" s="82">
        <f>Сводный!P17</f>
        <v>0</v>
      </c>
      <c r="Q26" s="84">
        <f>B26+E26+H26+K26+N26</f>
        <v>0</v>
      </c>
      <c r="R26" s="84">
        <f>D26+G26+J26+M26+P26</f>
        <v>0</v>
      </c>
    </row>
    <row r="27" spans="1:18" s="37" customFormat="1" ht="18" customHeight="1" hidden="1">
      <c r="A27" s="51" t="s">
        <v>31</v>
      </c>
      <c r="B27" s="85">
        <f>Сводный!B18</f>
        <v>0</v>
      </c>
      <c r="C27" s="121">
        <f>Сводный!C18</f>
        <v>0</v>
      </c>
      <c r="D27" s="86">
        <f>Сводный!D18</f>
        <v>0</v>
      </c>
      <c r="E27" s="85">
        <f>Сводный!E18</f>
        <v>0</v>
      </c>
      <c r="F27" s="141">
        <f>Сводный!F18</f>
        <v>0</v>
      </c>
      <c r="G27" s="86">
        <f>Сводный!G18</f>
        <v>0</v>
      </c>
      <c r="H27" s="85">
        <f>Сводный!H18</f>
        <v>0</v>
      </c>
      <c r="I27" s="141">
        <f>Сводный!I18</f>
        <v>0</v>
      </c>
      <c r="J27" s="86">
        <f>Сводный!J18</f>
        <v>0</v>
      </c>
      <c r="K27" s="85">
        <f>Сводный!K18</f>
        <v>0</v>
      </c>
      <c r="L27" s="121">
        <f>Сводный!L18</f>
        <v>0</v>
      </c>
      <c r="M27" s="86">
        <f>Сводный!M18</f>
        <v>0</v>
      </c>
      <c r="N27" s="83">
        <f>Сводный!N18</f>
        <v>0</v>
      </c>
      <c r="O27" s="121">
        <f>Сводный!O18</f>
        <v>0</v>
      </c>
      <c r="P27" s="82">
        <f>Сводный!P18</f>
        <v>0</v>
      </c>
      <c r="Q27" s="84">
        <f aca="true" t="shared" si="3" ref="Q27:Q80">B27+E27+H27+K27+N27</f>
        <v>0</v>
      </c>
      <c r="R27" s="84">
        <f aca="true" t="shared" si="4" ref="R27:R79">D27+G27+J27+M27+P27</f>
        <v>0</v>
      </c>
    </row>
    <row r="28" spans="1:18" s="37" customFormat="1" ht="18" customHeight="1" hidden="1">
      <c r="A28" s="51" t="s">
        <v>33</v>
      </c>
      <c r="B28" s="85">
        <f>Сводный!B19</f>
        <v>0</v>
      </c>
      <c r="C28" s="121">
        <f>Сводный!C19</f>
        <v>0</v>
      </c>
      <c r="D28" s="86">
        <f>Сводный!D19</f>
        <v>0</v>
      </c>
      <c r="E28" s="85">
        <f>Сводный!E19</f>
        <v>0</v>
      </c>
      <c r="F28" s="141">
        <f>Сводный!F19</f>
        <v>0</v>
      </c>
      <c r="G28" s="86">
        <f>Сводный!G19</f>
        <v>0</v>
      </c>
      <c r="H28" s="85">
        <f>Сводный!H19</f>
        <v>0</v>
      </c>
      <c r="I28" s="141">
        <f>Сводный!I19</f>
        <v>0</v>
      </c>
      <c r="J28" s="86">
        <f>Сводный!J19</f>
        <v>0</v>
      </c>
      <c r="K28" s="85">
        <f>Сводный!K19</f>
        <v>0</v>
      </c>
      <c r="L28" s="121">
        <f>Сводный!L19</f>
        <v>0</v>
      </c>
      <c r="M28" s="86">
        <f>Сводный!M19</f>
        <v>0</v>
      </c>
      <c r="N28" s="83">
        <f>Сводный!N19</f>
        <v>0</v>
      </c>
      <c r="O28" s="121">
        <f>Сводный!O19</f>
        <v>0</v>
      </c>
      <c r="P28" s="82">
        <f>Сводный!P19</f>
        <v>0</v>
      </c>
      <c r="Q28" s="84">
        <f t="shared" si="3"/>
        <v>0</v>
      </c>
      <c r="R28" s="84">
        <f t="shared" si="4"/>
        <v>0</v>
      </c>
    </row>
    <row r="29" spans="1:18" s="37" customFormat="1" ht="18" customHeight="1" hidden="1">
      <c r="A29" s="51" t="s">
        <v>32</v>
      </c>
      <c r="B29" s="85">
        <f>Сводный!B20</f>
        <v>0</v>
      </c>
      <c r="C29" s="121">
        <f>Сводный!C20</f>
        <v>0</v>
      </c>
      <c r="D29" s="86">
        <f>Сводный!D20</f>
        <v>0</v>
      </c>
      <c r="E29" s="85">
        <f>Сводный!E20</f>
        <v>0</v>
      </c>
      <c r="F29" s="141">
        <f>Сводный!F20</f>
        <v>0</v>
      </c>
      <c r="G29" s="86">
        <f>Сводный!G20</f>
        <v>0</v>
      </c>
      <c r="H29" s="85">
        <f>Сводный!H20</f>
        <v>0</v>
      </c>
      <c r="I29" s="141">
        <f>Сводный!I20</f>
        <v>0</v>
      </c>
      <c r="J29" s="86">
        <f>Сводный!J20</f>
        <v>0</v>
      </c>
      <c r="K29" s="85">
        <f>Сводный!K20</f>
        <v>0</v>
      </c>
      <c r="L29" s="121">
        <f>Сводный!L20</f>
        <v>0</v>
      </c>
      <c r="M29" s="86">
        <f>Сводный!M20</f>
        <v>0</v>
      </c>
      <c r="N29" s="83">
        <f>Сводный!N20</f>
        <v>0</v>
      </c>
      <c r="O29" s="121">
        <f>Сводный!O20</f>
        <v>0</v>
      </c>
      <c r="P29" s="82">
        <f>Сводный!P20</f>
        <v>0</v>
      </c>
      <c r="Q29" s="84">
        <f t="shared" si="3"/>
        <v>0</v>
      </c>
      <c r="R29" s="84">
        <f t="shared" si="4"/>
        <v>0</v>
      </c>
    </row>
    <row r="30" spans="1:18" s="37" customFormat="1" ht="18" customHeight="1" hidden="1">
      <c r="A30" s="51" t="s">
        <v>63</v>
      </c>
      <c r="B30" s="85">
        <f>Сводный!B21</f>
        <v>0</v>
      </c>
      <c r="C30" s="121">
        <f>Сводный!C21</f>
        <v>0</v>
      </c>
      <c r="D30" s="86">
        <f>Сводный!D21</f>
        <v>0</v>
      </c>
      <c r="E30" s="85">
        <f>Сводный!E21</f>
        <v>0</v>
      </c>
      <c r="F30" s="141">
        <f>Сводный!F21</f>
        <v>0</v>
      </c>
      <c r="G30" s="86">
        <f>Сводный!G21</f>
        <v>0</v>
      </c>
      <c r="H30" s="85">
        <f>Сводный!H21</f>
        <v>0</v>
      </c>
      <c r="I30" s="141">
        <f>Сводный!I21</f>
        <v>0</v>
      </c>
      <c r="J30" s="86">
        <f>Сводный!J21</f>
        <v>0</v>
      </c>
      <c r="K30" s="85">
        <f>Сводный!K21</f>
        <v>0</v>
      </c>
      <c r="L30" s="121">
        <f>Сводный!L21</f>
        <v>0</v>
      </c>
      <c r="M30" s="86">
        <f>Сводный!M21</f>
        <v>0</v>
      </c>
      <c r="N30" s="83">
        <f>Сводный!N21</f>
        <v>0</v>
      </c>
      <c r="O30" s="121">
        <f>Сводный!O21</f>
        <v>0</v>
      </c>
      <c r="P30" s="82">
        <f>Сводный!P21</f>
        <v>0</v>
      </c>
      <c r="Q30" s="84">
        <f t="shared" si="3"/>
        <v>0</v>
      </c>
      <c r="R30" s="84">
        <f t="shared" si="4"/>
        <v>0</v>
      </c>
    </row>
    <row r="31" spans="1:18" s="37" customFormat="1" ht="18" customHeight="1" hidden="1">
      <c r="A31" s="51" t="s">
        <v>64</v>
      </c>
      <c r="B31" s="85">
        <f>Сводный!B22</f>
        <v>0</v>
      </c>
      <c r="C31" s="121">
        <f>Сводный!C22</f>
        <v>0</v>
      </c>
      <c r="D31" s="86">
        <f>Сводный!D22</f>
        <v>0</v>
      </c>
      <c r="E31" s="85">
        <f>Сводный!E22</f>
        <v>0</v>
      </c>
      <c r="F31" s="141">
        <f>Сводный!F22</f>
        <v>0</v>
      </c>
      <c r="G31" s="86">
        <f>Сводный!G22</f>
        <v>0</v>
      </c>
      <c r="H31" s="85">
        <f>Сводный!H22</f>
        <v>0</v>
      </c>
      <c r="I31" s="141">
        <f>Сводный!I22</f>
        <v>0</v>
      </c>
      <c r="J31" s="86">
        <f>Сводный!J22</f>
        <v>0</v>
      </c>
      <c r="K31" s="85">
        <f>Сводный!K22</f>
        <v>0</v>
      </c>
      <c r="L31" s="121">
        <f>Сводный!L22</f>
        <v>0</v>
      </c>
      <c r="M31" s="86">
        <f>Сводный!M22</f>
        <v>0</v>
      </c>
      <c r="N31" s="83">
        <f>Сводный!N22</f>
        <v>0</v>
      </c>
      <c r="O31" s="121">
        <f>Сводный!O22</f>
        <v>0</v>
      </c>
      <c r="P31" s="82">
        <f>Сводный!P22</f>
        <v>0</v>
      </c>
      <c r="Q31" s="84">
        <f t="shared" si="3"/>
        <v>0</v>
      </c>
      <c r="R31" s="84">
        <f t="shared" si="4"/>
        <v>0</v>
      </c>
    </row>
    <row r="32" spans="1:18" s="37" customFormat="1" ht="25.5" hidden="1">
      <c r="A32" s="51" t="s">
        <v>24</v>
      </c>
      <c r="B32" s="85">
        <f>Сводный!B23</f>
        <v>0</v>
      </c>
      <c r="C32" s="121">
        <f>Сводный!C23</f>
        <v>0</v>
      </c>
      <c r="D32" s="86">
        <f>Сводный!D23</f>
        <v>0</v>
      </c>
      <c r="E32" s="85">
        <f>Сводный!E23</f>
        <v>0</v>
      </c>
      <c r="F32" s="141">
        <f>Сводный!F23</f>
        <v>0</v>
      </c>
      <c r="G32" s="86">
        <f>Сводный!G23</f>
        <v>0</v>
      </c>
      <c r="H32" s="85">
        <f>Сводный!H23</f>
        <v>0</v>
      </c>
      <c r="I32" s="141">
        <f>Сводный!I23</f>
        <v>0</v>
      </c>
      <c r="J32" s="86">
        <f>Сводный!J23</f>
        <v>0</v>
      </c>
      <c r="K32" s="85">
        <f>Сводный!K23</f>
        <v>0</v>
      </c>
      <c r="L32" s="121">
        <f>Сводный!L23</f>
        <v>0</v>
      </c>
      <c r="M32" s="86">
        <f>Сводный!M23</f>
        <v>0</v>
      </c>
      <c r="N32" s="83">
        <f>Сводный!N23</f>
        <v>0</v>
      </c>
      <c r="O32" s="121">
        <f>Сводный!O23</f>
        <v>0</v>
      </c>
      <c r="P32" s="82">
        <f>Сводный!P23</f>
        <v>0</v>
      </c>
      <c r="Q32" s="84">
        <f t="shared" si="3"/>
        <v>0</v>
      </c>
      <c r="R32" s="84">
        <f t="shared" si="4"/>
        <v>0</v>
      </c>
    </row>
    <row r="33" spans="1:18" s="37" customFormat="1" ht="21" customHeight="1" hidden="1">
      <c r="A33" s="51" t="s">
        <v>36</v>
      </c>
      <c r="B33" s="85">
        <f>Сводный!B24</f>
        <v>0</v>
      </c>
      <c r="C33" s="121">
        <f>Сводный!C24</f>
        <v>0</v>
      </c>
      <c r="D33" s="86">
        <f>Сводный!D24</f>
        <v>0</v>
      </c>
      <c r="E33" s="85">
        <f>Сводный!E24</f>
        <v>0</v>
      </c>
      <c r="F33" s="141">
        <f>Сводный!F24</f>
        <v>0</v>
      </c>
      <c r="G33" s="86">
        <f>Сводный!G24</f>
        <v>0</v>
      </c>
      <c r="H33" s="85">
        <f>Сводный!H24</f>
        <v>0</v>
      </c>
      <c r="I33" s="141">
        <f>Сводный!I24</f>
        <v>0</v>
      </c>
      <c r="J33" s="86">
        <f>Сводный!J24</f>
        <v>0</v>
      </c>
      <c r="K33" s="85">
        <f>Сводный!K24</f>
        <v>0</v>
      </c>
      <c r="L33" s="121">
        <f>Сводный!L24</f>
        <v>0</v>
      </c>
      <c r="M33" s="86">
        <f>Сводный!M24</f>
        <v>0</v>
      </c>
      <c r="N33" s="83">
        <f>Сводный!N24</f>
        <v>0</v>
      </c>
      <c r="O33" s="121">
        <f>Сводный!O24</f>
        <v>0</v>
      </c>
      <c r="P33" s="82">
        <f>Сводный!P24</f>
        <v>0</v>
      </c>
      <c r="Q33" s="84">
        <f t="shared" si="3"/>
        <v>0</v>
      </c>
      <c r="R33" s="84">
        <f t="shared" si="4"/>
        <v>0</v>
      </c>
    </row>
    <row r="34" spans="1:18" s="37" customFormat="1" ht="25.5" customHeight="1" hidden="1">
      <c r="A34" s="51" t="s">
        <v>55</v>
      </c>
      <c r="B34" s="85">
        <f>Сводный!B25</f>
        <v>0</v>
      </c>
      <c r="C34" s="121">
        <f>Сводный!C25</f>
        <v>0</v>
      </c>
      <c r="D34" s="86">
        <f>Сводный!D25</f>
        <v>0</v>
      </c>
      <c r="E34" s="85">
        <f>Сводный!E25</f>
        <v>0</v>
      </c>
      <c r="F34" s="141">
        <f>Сводный!F25</f>
        <v>0</v>
      </c>
      <c r="G34" s="86">
        <f>Сводный!G25</f>
        <v>0</v>
      </c>
      <c r="H34" s="85">
        <f>Сводный!H25</f>
        <v>0</v>
      </c>
      <c r="I34" s="141">
        <f>Сводный!I25</f>
        <v>0</v>
      </c>
      <c r="J34" s="86">
        <f>Сводный!J25</f>
        <v>0</v>
      </c>
      <c r="K34" s="85">
        <f>Сводный!K25</f>
        <v>0</v>
      </c>
      <c r="L34" s="121">
        <f>Сводный!L25</f>
        <v>0</v>
      </c>
      <c r="M34" s="86">
        <f>Сводный!M25</f>
        <v>0</v>
      </c>
      <c r="N34" s="83">
        <f>Сводный!N25</f>
        <v>0</v>
      </c>
      <c r="O34" s="121">
        <f>Сводный!O25</f>
        <v>0</v>
      </c>
      <c r="P34" s="82">
        <f>Сводный!P25</f>
        <v>0</v>
      </c>
      <c r="Q34" s="84">
        <f t="shared" si="3"/>
        <v>0</v>
      </c>
      <c r="R34" s="84">
        <f t="shared" si="4"/>
        <v>0</v>
      </c>
    </row>
    <row r="35" spans="1:18" s="37" customFormat="1" ht="25.5" customHeight="1" hidden="1">
      <c r="A35" s="51" t="s">
        <v>54</v>
      </c>
      <c r="B35" s="85">
        <f>Сводный!B26</f>
        <v>0</v>
      </c>
      <c r="C35" s="121">
        <f>Сводный!C26</f>
        <v>0</v>
      </c>
      <c r="D35" s="86">
        <f>Сводный!D26</f>
        <v>0</v>
      </c>
      <c r="E35" s="85">
        <f>Сводный!E26</f>
        <v>0</v>
      </c>
      <c r="F35" s="141">
        <f>Сводный!F26</f>
        <v>0</v>
      </c>
      <c r="G35" s="86">
        <f>Сводный!G26</f>
        <v>0</v>
      </c>
      <c r="H35" s="85">
        <f>Сводный!H26</f>
        <v>0</v>
      </c>
      <c r="I35" s="141">
        <f>Сводный!I26</f>
        <v>0</v>
      </c>
      <c r="J35" s="86">
        <f>Сводный!J26</f>
        <v>0</v>
      </c>
      <c r="K35" s="85">
        <f>Сводный!K26</f>
        <v>0</v>
      </c>
      <c r="L35" s="121">
        <f>Сводный!L26</f>
        <v>0</v>
      </c>
      <c r="M35" s="86">
        <f>Сводный!M26</f>
        <v>0</v>
      </c>
      <c r="N35" s="83">
        <f>Сводный!N26</f>
        <v>0</v>
      </c>
      <c r="O35" s="121">
        <f>Сводный!O26</f>
        <v>0</v>
      </c>
      <c r="P35" s="82">
        <f>Сводный!P26</f>
        <v>0</v>
      </c>
      <c r="Q35" s="84">
        <f t="shared" si="3"/>
        <v>0</v>
      </c>
      <c r="R35" s="84">
        <f t="shared" si="4"/>
        <v>0</v>
      </c>
    </row>
    <row r="36" spans="1:18" s="37" customFormat="1" ht="25.5" customHeight="1" hidden="1">
      <c r="A36" s="51" t="s">
        <v>53</v>
      </c>
      <c r="B36" s="85">
        <f>Сводный!B27</f>
        <v>0</v>
      </c>
      <c r="C36" s="121">
        <f>Сводный!C27</f>
        <v>0</v>
      </c>
      <c r="D36" s="86">
        <f>Сводный!D27</f>
        <v>0</v>
      </c>
      <c r="E36" s="85">
        <f>Сводный!E27</f>
        <v>0</v>
      </c>
      <c r="F36" s="141">
        <f>Сводный!F27</f>
        <v>0</v>
      </c>
      <c r="G36" s="86">
        <f>Сводный!G27</f>
        <v>0</v>
      </c>
      <c r="H36" s="85">
        <f>Сводный!H27</f>
        <v>0</v>
      </c>
      <c r="I36" s="141">
        <f>Сводный!I27</f>
        <v>0</v>
      </c>
      <c r="J36" s="86">
        <f>Сводный!J27</f>
        <v>0</v>
      </c>
      <c r="K36" s="85">
        <f>Сводный!K27</f>
        <v>0</v>
      </c>
      <c r="L36" s="121">
        <f>Сводный!L27</f>
        <v>0</v>
      </c>
      <c r="M36" s="86">
        <f>Сводный!M27</f>
        <v>0</v>
      </c>
      <c r="N36" s="83">
        <f>Сводный!N27</f>
        <v>0</v>
      </c>
      <c r="O36" s="121">
        <f>Сводный!O27</f>
        <v>0</v>
      </c>
      <c r="P36" s="82">
        <f>Сводный!P27</f>
        <v>0</v>
      </c>
      <c r="Q36" s="84">
        <f t="shared" si="3"/>
        <v>0</v>
      </c>
      <c r="R36" s="84">
        <f t="shared" si="4"/>
        <v>0</v>
      </c>
    </row>
    <row r="37" spans="1:18" s="37" customFormat="1" ht="18" customHeight="1" hidden="1">
      <c r="A37" s="51" t="s">
        <v>61</v>
      </c>
      <c r="B37" s="85">
        <f>Сводный!B28</f>
        <v>0</v>
      </c>
      <c r="C37" s="121">
        <f>Сводный!C28</f>
        <v>0</v>
      </c>
      <c r="D37" s="86">
        <f>Сводный!D28</f>
        <v>0</v>
      </c>
      <c r="E37" s="85">
        <f>Сводный!E28</f>
        <v>0</v>
      </c>
      <c r="F37" s="141">
        <f>Сводный!F28</f>
        <v>0</v>
      </c>
      <c r="G37" s="86">
        <f>Сводный!G28</f>
        <v>0</v>
      </c>
      <c r="H37" s="85">
        <f>Сводный!H28</f>
        <v>0</v>
      </c>
      <c r="I37" s="141">
        <f>Сводный!I28</f>
        <v>0</v>
      </c>
      <c r="J37" s="86">
        <f>Сводный!J28</f>
        <v>0</v>
      </c>
      <c r="K37" s="85">
        <f>Сводный!K28</f>
        <v>0</v>
      </c>
      <c r="L37" s="121">
        <f>Сводный!L28</f>
        <v>0</v>
      </c>
      <c r="M37" s="86">
        <f>Сводный!M28</f>
        <v>0</v>
      </c>
      <c r="N37" s="83">
        <f>Сводный!N28</f>
        <v>0</v>
      </c>
      <c r="O37" s="121">
        <f>Сводный!O28</f>
        <v>0</v>
      </c>
      <c r="P37" s="82">
        <f>Сводный!P28</f>
        <v>0</v>
      </c>
      <c r="Q37" s="84">
        <f t="shared" si="3"/>
        <v>0</v>
      </c>
      <c r="R37" s="84">
        <f t="shared" si="4"/>
        <v>0</v>
      </c>
    </row>
    <row r="38" spans="1:18" s="37" customFormat="1" ht="18" customHeight="1" hidden="1">
      <c r="A38" s="51" t="s">
        <v>30</v>
      </c>
      <c r="B38" s="85">
        <f>Сводный!B29</f>
        <v>0</v>
      </c>
      <c r="C38" s="121">
        <f>Сводный!C29</f>
        <v>0</v>
      </c>
      <c r="D38" s="86">
        <f>Сводный!D29</f>
        <v>0</v>
      </c>
      <c r="E38" s="85">
        <f>Сводный!E29</f>
        <v>0</v>
      </c>
      <c r="F38" s="141">
        <f>Сводный!F29</f>
        <v>0</v>
      </c>
      <c r="G38" s="86">
        <f>Сводный!G29</f>
        <v>0</v>
      </c>
      <c r="H38" s="85">
        <f>Сводный!H29</f>
        <v>0</v>
      </c>
      <c r="I38" s="141">
        <f>Сводный!I29</f>
        <v>0</v>
      </c>
      <c r="J38" s="86">
        <f>Сводный!J29</f>
        <v>0</v>
      </c>
      <c r="K38" s="85">
        <f>Сводный!K29</f>
        <v>0</v>
      </c>
      <c r="L38" s="121">
        <f>Сводный!L29</f>
        <v>0</v>
      </c>
      <c r="M38" s="86">
        <f>Сводный!M29</f>
        <v>0</v>
      </c>
      <c r="N38" s="83">
        <f>Сводный!N29</f>
        <v>0</v>
      </c>
      <c r="O38" s="121">
        <f>Сводный!O29</f>
        <v>0</v>
      </c>
      <c r="P38" s="82">
        <f>Сводный!P29</f>
        <v>0</v>
      </c>
      <c r="Q38" s="84">
        <f t="shared" si="3"/>
        <v>0</v>
      </c>
      <c r="R38" s="84">
        <f t="shared" si="4"/>
        <v>0</v>
      </c>
    </row>
    <row r="39" spans="1:18" s="37" customFormat="1" ht="18" customHeight="1" hidden="1">
      <c r="A39" s="51" t="s">
        <v>67</v>
      </c>
      <c r="B39" s="85">
        <f>Сводный!B30</f>
        <v>0</v>
      </c>
      <c r="C39" s="121">
        <f>Сводный!C30</f>
        <v>0</v>
      </c>
      <c r="D39" s="86">
        <f>Сводный!D30</f>
        <v>0</v>
      </c>
      <c r="E39" s="85">
        <f>Сводный!E30</f>
        <v>0</v>
      </c>
      <c r="F39" s="141">
        <f>Сводный!F30</f>
        <v>0</v>
      </c>
      <c r="G39" s="86">
        <f>Сводный!G30</f>
        <v>0</v>
      </c>
      <c r="H39" s="85">
        <f>Сводный!H30</f>
        <v>0</v>
      </c>
      <c r="I39" s="141">
        <f>Сводный!I30</f>
        <v>0</v>
      </c>
      <c r="J39" s="86">
        <f>Сводный!J30</f>
        <v>0</v>
      </c>
      <c r="K39" s="85">
        <f>Сводный!K30</f>
        <v>0</v>
      </c>
      <c r="L39" s="121">
        <f>Сводный!L30</f>
        <v>0</v>
      </c>
      <c r="M39" s="86">
        <f>Сводный!M30</f>
        <v>0</v>
      </c>
      <c r="N39" s="83">
        <f>Сводный!N30</f>
        <v>0</v>
      </c>
      <c r="O39" s="121">
        <f>Сводный!O30</f>
        <v>0</v>
      </c>
      <c r="P39" s="82">
        <f>Сводный!P30</f>
        <v>0</v>
      </c>
      <c r="Q39" s="84">
        <f t="shared" si="3"/>
        <v>0</v>
      </c>
      <c r="R39" s="84">
        <f t="shared" si="4"/>
        <v>0</v>
      </c>
    </row>
    <row r="40" spans="1:18" s="37" customFormat="1" ht="18" customHeight="1" hidden="1">
      <c r="A40" s="51" t="s">
        <v>28</v>
      </c>
      <c r="B40" s="85">
        <f>Сводный!B31</f>
        <v>0</v>
      </c>
      <c r="C40" s="121">
        <f>Сводный!C31</f>
        <v>0</v>
      </c>
      <c r="D40" s="86">
        <f>Сводный!D31</f>
        <v>0</v>
      </c>
      <c r="E40" s="85">
        <f>Сводный!E31</f>
        <v>0</v>
      </c>
      <c r="F40" s="141">
        <f>Сводный!F31</f>
        <v>0</v>
      </c>
      <c r="G40" s="86">
        <f>Сводный!G31</f>
        <v>0</v>
      </c>
      <c r="H40" s="85">
        <f>Сводный!H31</f>
        <v>0</v>
      </c>
      <c r="I40" s="141">
        <f>Сводный!I31</f>
        <v>0</v>
      </c>
      <c r="J40" s="86">
        <f>Сводный!J31</f>
        <v>0</v>
      </c>
      <c r="K40" s="85">
        <f>Сводный!K31</f>
        <v>0</v>
      </c>
      <c r="L40" s="121">
        <f>Сводный!L31</f>
        <v>0</v>
      </c>
      <c r="M40" s="86">
        <f>Сводный!M31</f>
        <v>0</v>
      </c>
      <c r="N40" s="83">
        <f>Сводный!N31</f>
        <v>0</v>
      </c>
      <c r="O40" s="121">
        <f>Сводный!O31</f>
        <v>0</v>
      </c>
      <c r="P40" s="82">
        <f>Сводный!P31</f>
        <v>0</v>
      </c>
      <c r="Q40" s="84">
        <f t="shared" si="3"/>
        <v>0</v>
      </c>
      <c r="R40" s="84">
        <f t="shared" si="4"/>
        <v>0</v>
      </c>
    </row>
    <row r="41" spans="1:18" s="37" customFormat="1" ht="18" customHeight="1" hidden="1">
      <c r="A41" s="51" t="s">
        <v>58</v>
      </c>
      <c r="B41" s="85">
        <f>Сводный!B32</f>
        <v>0</v>
      </c>
      <c r="C41" s="121">
        <f>Сводный!C32</f>
        <v>0</v>
      </c>
      <c r="D41" s="86">
        <f>Сводный!D32</f>
        <v>0</v>
      </c>
      <c r="E41" s="85">
        <f>Сводный!E32</f>
        <v>0</v>
      </c>
      <c r="F41" s="141">
        <f>Сводный!F32</f>
        <v>0</v>
      </c>
      <c r="G41" s="86">
        <f>Сводный!G32</f>
        <v>0</v>
      </c>
      <c r="H41" s="85">
        <f>Сводный!H32</f>
        <v>0</v>
      </c>
      <c r="I41" s="141">
        <f>Сводный!I32</f>
        <v>0</v>
      </c>
      <c r="J41" s="86">
        <f>Сводный!J32</f>
        <v>0</v>
      </c>
      <c r="K41" s="85">
        <f>Сводный!K32</f>
        <v>0</v>
      </c>
      <c r="L41" s="121">
        <f>Сводный!L32</f>
        <v>0</v>
      </c>
      <c r="M41" s="86">
        <f>Сводный!M32</f>
        <v>0</v>
      </c>
      <c r="N41" s="83">
        <f>Сводный!N32</f>
        <v>0</v>
      </c>
      <c r="O41" s="121">
        <f>Сводный!O32</f>
        <v>0</v>
      </c>
      <c r="P41" s="82">
        <f>Сводный!P32</f>
        <v>0</v>
      </c>
      <c r="Q41" s="84">
        <f t="shared" si="3"/>
        <v>0</v>
      </c>
      <c r="R41" s="84">
        <f t="shared" si="4"/>
        <v>0</v>
      </c>
    </row>
    <row r="42" spans="1:18" s="37" customFormat="1" ht="27" customHeight="1" hidden="1">
      <c r="A42" s="51" t="s">
        <v>59</v>
      </c>
      <c r="B42" s="85">
        <f>Сводный!B33</f>
        <v>0</v>
      </c>
      <c r="C42" s="121">
        <f>Сводный!C33</f>
        <v>0</v>
      </c>
      <c r="D42" s="86">
        <f>Сводный!D33</f>
        <v>0</v>
      </c>
      <c r="E42" s="85">
        <f>Сводный!E33</f>
        <v>0</v>
      </c>
      <c r="F42" s="141">
        <f>Сводный!F33</f>
        <v>0</v>
      </c>
      <c r="G42" s="86">
        <f>Сводный!G33</f>
        <v>0</v>
      </c>
      <c r="H42" s="85">
        <f>Сводный!H33</f>
        <v>0</v>
      </c>
      <c r="I42" s="141">
        <f>Сводный!I33</f>
        <v>0</v>
      </c>
      <c r="J42" s="86">
        <f>Сводный!J33</f>
        <v>0</v>
      </c>
      <c r="K42" s="85">
        <f>Сводный!K33</f>
        <v>0</v>
      </c>
      <c r="L42" s="121">
        <f>Сводный!L33</f>
        <v>0</v>
      </c>
      <c r="M42" s="86">
        <f>Сводный!M33</f>
        <v>0</v>
      </c>
      <c r="N42" s="83">
        <f>Сводный!N33</f>
        <v>0</v>
      </c>
      <c r="O42" s="121">
        <f>Сводный!O33</f>
        <v>0</v>
      </c>
      <c r="P42" s="82">
        <f>Сводный!P33</f>
        <v>0</v>
      </c>
      <c r="Q42" s="84">
        <f t="shared" si="3"/>
        <v>0</v>
      </c>
      <c r="R42" s="84">
        <f t="shared" si="4"/>
        <v>0</v>
      </c>
    </row>
    <row r="43" spans="1:18" s="37" customFormat="1" ht="39" customHeight="1" hidden="1">
      <c r="A43" s="51" t="s">
        <v>113</v>
      </c>
      <c r="B43" s="85">
        <f>Сводный!B34</f>
        <v>0</v>
      </c>
      <c r="C43" s="121">
        <f>Сводный!C34</f>
        <v>0</v>
      </c>
      <c r="D43" s="86">
        <f>Сводный!D34</f>
        <v>0</v>
      </c>
      <c r="E43" s="85">
        <f>Сводный!E34</f>
        <v>0</v>
      </c>
      <c r="F43" s="141">
        <f>Сводный!F34</f>
        <v>0</v>
      </c>
      <c r="G43" s="86">
        <f>Сводный!G34</f>
        <v>0</v>
      </c>
      <c r="H43" s="85">
        <f>Сводный!H34</f>
        <v>0</v>
      </c>
      <c r="I43" s="141">
        <f>Сводный!I34</f>
        <v>0</v>
      </c>
      <c r="J43" s="86">
        <f>Сводный!J34</f>
        <v>0</v>
      </c>
      <c r="K43" s="85">
        <f>Сводный!K34</f>
        <v>0</v>
      </c>
      <c r="L43" s="121">
        <f>Сводный!L34</f>
        <v>0</v>
      </c>
      <c r="M43" s="86">
        <f>Сводный!M34</f>
        <v>0</v>
      </c>
      <c r="N43" s="83">
        <f>Сводный!N34</f>
        <v>0</v>
      </c>
      <c r="O43" s="121">
        <f>Сводный!O34</f>
        <v>0</v>
      </c>
      <c r="P43" s="82">
        <f>Сводный!P34</f>
        <v>0</v>
      </c>
      <c r="Q43" s="84">
        <f t="shared" si="3"/>
        <v>0</v>
      </c>
      <c r="R43" s="84">
        <f t="shared" si="4"/>
        <v>0</v>
      </c>
    </row>
    <row r="44" spans="1:18" s="37" customFormat="1" ht="18" customHeight="1" hidden="1">
      <c r="A44" s="52" t="s">
        <v>43</v>
      </c>
      <c r="B44" s="85">
        <f>Сводный!B35</f>
        <v>0</v>
      </c>
      <c r="C44" s="121">
        <f>Сводный!C35</f>
        <v>0</v>
      </c>
      <c r="D44" s="86">
        <f>Сводный!D35</f>
        <v>0</v>
      </c>
      <c r="E44" s="85">
        <f>Сводный!E35</f>
        <v>0</v>
      </c>
      <c r="F44" s="141">
        <f>Сводный!F35</f>
        <v>0</v>
      </c>
      <c r="G44" s="86">
        <f>Сводный!G35</f>
        <v>0</v>
      </c>
      <c r="H44" s="85">
        <f>Сводный!H35</f>
        <v>0</v>
      </c>
      <c r="I44" s="141">
        <f>Сводный!I35</f>
        <v>0</v>
      </c>
      <c r="J44" s="86">
        <f>Сводный!J35</f>
        <v>0</v>
      </c>
      <c r="K44" s="85">
        <f>Сводный!K35</f>
        <v>0</v>
      </c>
      <c r="L44" s="121">
        <f>Сводный!L35</f>
        <v>0</v>
      </c>
      <c r="M44" s="86">
        <f>Сводный!M35</f>
        <v>0</v>
      </c>
      <c r="N44" s="83">
        <f>Сводный!N35</f>
        <v>0</v>
      </c>
      <c r="O44" s="121">
        <f>Сводный!O35</f>
        <v>0</v>
      </c>
      <c r="P44" s="82">
        <f>Сводный!P35</f>
        <v>0</v>
      </c>
      <c r="Q44" s="84">
        <f t="shared" si="3"/>
        <v>0</v>
      </c>
      <c r="R44" s="84">
        <f t="shared" si="4"/>
        <v>0</v>
      </c>
    </row>
    <row r="45" spans="1:18" s="37" customFormat="1" ht="18" customHeight="1" hidden="1">
      <c r="A45" s="51" t="s">
        <v>51</v>
      </c>
      <c r="B45" s="85">
        <f>Сводный!B36</f>
        <v>0</v>
      </c>
      <c r="C45" s="121">
        <f>Сводный!C36</f>
        <v>0</v>
      </c>
      <c r="D45" s="86">
        <f>Сводный!D36</f>
        <v>0</v>
      </c>
      <c r="E45" s="85">
        <f>Сводный!E36</f>
        <v>0</v>
      </c>
      <c r="F45" s="141">
        <f>Сводный!F36</f>
        <v>0</v>
      </c>
      <c r="G45" s="86">
        <f>Сводный!G36</f>
        <v>0</v>
      </c>
      <c r="H45" s="85">
        <f>Сводный!H36</f>
        <v>0</v>
      </c>
      <c r="I45" s="141">
        <f>Сводный!I36</f>
        <v>0</v>
      </c>
      <c r="J45" s="86">
        <f>Сводный!J36</f>
        <v>0</v>
      </c>
      <c r="K45" s="85">
        <f>Сводный!K36</f>
        <v>0</v>
      </c>
      <c r="L45" s="121">
        <f>Сводный!L36</f>
        <v>0</v>
      </c>
      <c r="M45" s="86">
        <f>Сводный!M36</f>
        <v>0</v>
      </c>
      <c r="N45" s="83">
        <f>Сводный!N36</f>
        <v>0</v>
      </c>
      <c r="O45" s="121">
        <f>Сводный!O36</f>
        <v>0</v>
      </c>
      <c r="P45" s="82">
        <f>Сводный!P36</f>
        <v>0</v>
      </c>
      <c r="Q45" s="84">
        <f t="shared" si="3"/>
        <v>0</v>
      </c>
      <c r="R45" s="84">
        <f t="shared" si="4"/>
        <v>0</v>
      </c>
    </row>
    <row r="46" spans="1:18" s="37" customFormat="1" ht="18" customHeight="1" hidden="1">
      <c r="A46" s="51" t="s">
        <v>50</v>
      </c>
      <c r="B46" s="85">
        <f>Сводный!B37</f>
        <v>0</v>
      </c>
      <c r="C46" s="121">
        <f>Сводный!C37</f>
        <v>0</v>
      </c>
      <c r="D46" s="86">
        <f>Сводный!D37</f>
        <v>0</v>
      </c>
      <c r="E46" s="85">
        <f>Сводный!E37</f>
        <v>0</v>
      </c>
      <c r="F46" s="141">
        <f>Сводный!F37</f>
        <v>0</v>
      </c>
      <c r="G46" s="86">
        <f>Сводный!G37</f>
        <v>0</v>
      </c>
      <c r="H46" s="85">
        <f>Сводный!H37</f>
        <v>0</v>
      </c>
      <c r="I46" s="141">
        <f>Сводный!I37</f>
        <v>0</v>
      </c>
      <c r="J46" s="86">
        <f>Сводный!J37</f>
        <v>0</v>
      </c>
      <c r="K46" s="85">
        <f>Сводный!K37</f>
        <v>0</v>
      </c>
      <c r="L46" s="121">
        <f>Сводный!L37</f>
        <v>0</v>
      </c>
      <c r="M46" s="86">
        <f>Сводный!M37</f>
        <v>0</v>
      </c>
      <c r="N46" s="83">
        <f>Сводный!N37</f>
        <v>0</v>
      </c>
      <c r="O46" s="121">
        <f>Сводный!O37</f>
        <v>0</v>
      </c>
      <c r="P46" s="82">
        <f>Сводный!P37</f>
        <v>0</v>
      </c>
      <c r="Q46" s="84">
        <f t="shared" si="3"/>
        <v>0</v>
      </c>
      <c r="R46" s="84">
        <f t="shared" si="4"/>
        <v>0</v>
      </c>
    </row>
    <row r="47" spans="1:18" s="37" customFormat="1" ht="27" customHeight="1" hidden="1">
      <c r="A47" s="51" t="s">
        <v>60</v>
      </c>
      <c r="B47" s="85">
        <f>Сводный!B38</f>
        <v>0</v>
      </c>
      <c r="C47" s="121">
        <f>Сводный!C38</f>
        <v>0</v>
      </c>
      <c r="D47" s="86">
        <f>Сводный!D38</f>
        <v>0</v>
      </c>
      <c r="E47" s="85">
        <f>Сводный!E38</f>
        <v>0</v>
      </c>
      <c r="F47" s="141">
        <f>Сводный!F38</f>
        <v>0</v>
      </c>
      <c r="G47" s="86">
        <f>Сводный!G38</f>
        <v>0</v>
      </c>
      <c r="H47" s="85">
        <f>Сводный!H38</f>
        <v>0</v>
      </c>
      <c r="I47" s="141">
        <f>Сводный!I38</f>
        <v>0</v>
      </c>
      <c r="J47" s="86">
        <f>Сводный!J38</f>
        <v>0</v>
      </c>
      <c r="K47" s="85">
        <f>Сводный!K38</f>
        <v>0</v>
      </c>
      <c r="L47" s="121">
        <f>Сводный!L38</f>
        <v>0</v>
      </c>
      <c r="M47" s="86">
        <f>Сводный!M38</f>
        <v>0</v>
      </c>
      <c r="N47" s="83">
        <f>Сводный!N38</f>
        <v>0</v>
      </c>
      <c r="O47" s="121">
        <f>Сводный!O38</f>
        <v>0</v>
      </c>
      <c r="P47" s="82">
        <f>Сводный!P38</f>
        <v>0</v>
      </c>
      <c r="Q47" s="84">
        <f t="shared" si="3"/>
        <v>0</v>
      </c>
      <c r="R47" s="84">
        <f t="shared" si="4"/>
        <v>0</v>
      </c>
    </row>
    <row r="48" spans="1:18" s="37" customFormat="1" ht="18" customHeight="1" hidden="1">
      <c r="A48" s="53" t="s">
        <v>73</v>
      </c>
      <c r="B48" s="85">
        <f>Сводный!B39</f>
        <v>0</v>
      </c>
      <c r="C48" s="121">
        <f>Сводный!C39</f>
        <v>0</v>
      </c>
      <c r="D48" s="86">
        <f>Сводный!D39</f>
        <v>0</v>
      </c>
      <c r="E48" s="85">
        <f>Сводный!E39</f>
        <v>0</v>
      </c>
      <c r="F48" s="141">
        <f>Сводный!F39</f>
        <v>0</v>
      </c>
      <c r="G48" s="86">
        <f>Сводный!G39</f>
        <v>0</v>
      </c>
      <c r="H48" s="85">
        <f>Сводный!H39</f>
        <v>0</v>
      </c>
      <c r="I48" s="141">
        <f>Сводный!I39</f>
        <v>0</v>
      </c>
      <c r="J48" s="86">
        <f>Сводный!J39</f>
        <v>0</v>
      </c>
      <c r="K48" s="85">
        <f>Сводный!K39</f>
        <v>0</v>
      </c>
      <c r="L48" s="121">
        <f>Сводный!L39</f>
        <v>0</v>
      </c>
      <c r="M48" s="86">
        <f>Сводный!M39</f>
        <v>0</v>
      </c>
      <c r="N48" s="83">
        <f>Сводный!N39</f>
        <v>0</v>
      </c>
      <c r="O48" s="121">
        <f>Сводный!O39</f>
        <v>0</v>
      </c>
      <c r="P48" s="82">
        <f>Сводный!P39</f>
        <v>0</v>
      </c>
      <c r="Q48" s="84">
        <f t="shared" si="3"/>
        <v>0</v>
      </c>
      <c r="R48" s="84">
        <f t="shared" si="4"/>
        <v>0</v>
      </c>
    </row>
    <row r="49" spans="1:18" s="37" customFormat="1" ht="18" customHeight="1" hidden="1">
      <c r="A49" s="53" t="s">
        <v>23</v>
      </c>
      <c r="B49" s="85">
        <f>Сводный!B40</f>
        <v>0</v>
      </c>
      <c r="C49" s="121">
        <f>Сводный!C40</f>
        <v>0</v>
      </c>
      <c r="D49" s="86">
        <f>Сводный!D40</f>
        <v>0</v>
      </c>
      <c r="E49" s="85">
        <f>Сводный!E40</f>
        <v>0</v>
      </c>
      <c r="F49" s="141">
        <f>Сводный!F40</f>
        <v>0</v>
      </c>
      <c r="G49" s="86">
        <f>Сводный!G40</f>
        <v>0</v>
      </c>
      <c r="H49" s="85">
        <f>Сводный!H40</f>
        <v>0</v>
      </c>
      <c r="I49" s="141">
        <f>Сводный!I40</f>
        <v>0</v>
      </c>
      <c r="J49" s="86">
        <f>Сводный!J40</f>
        <v>0</v>
      </c>
      <c r="K49" s="85">
        <f>Сводный!K40</f>
        <v>0</v>
      </c>
      <c r="L49" s="121">
        <f>Сводный!L40</f>
        <v>0</v>
      </c>
      <c r="M49" s="86">
        <f>Сводный!M40</f>
        <v>0</v>
      </c>
      <c r="N49" s="83">
        <f>Сводный!N40</f>
        <v>0</v>
      </c>
      <c r="O49" s="121">
        <f>Сводный!O40</f>
        <v>0</v>
      </c>
      <c r="P49" s="82">
        <f>Сводный!P40</f>
        <v>0</v>
      </c>
      <c r="Q49" s="84">
        <f t="shared" si="3"/>
        <v>0</v>
      </c>
      <c r="R49" s="84">
        <f t="shared" si="4"/>
        <v>0</v>
      </c>
    </row>
    <row r="50" spans="1:18" s="37" customFormat="1" ht="18" customHeight="1" hidden="1">
      <c r="A50" s="53" t="s">
        <v>26</v>
      </c>
      <c r="B50" s="85">
        <f>Сводный!B41</f>
        <v>0</v>
      </c>
      <c r="C50" s="121">
        <f>Сводный!C41</f>
        <v>0</v>
      </c>
      <c r="D50" s="86">
        <f>Сводный!D41</f>
        <v>0</v>
      </c>
      <c r="E50" s="85">
        <f>Сводный!E41</f>
        <v>0</v>
      </c>
      <c r="F50" s="141">
        <f>Сводный!F41</f>
        <v>0</v>
      </c>
      <c r="G50" s="86">
        <f>Сводный!G41</f>
        <v>0</v>
      </c>
      <c r="H50" s="85">
        <f>Сводный!H41</f>
        <v>0</v>
      </c>
      <c r="I50" s="141">
        <f>Сводный!I41</f>
        <v>0</v>
      </c>
      <c r="J50" s="86">
        <f>Сводный!J41</f>
        <v>0</v>
      </c>
      <c r="K50" s="85">
        <f>Сводный!K41</f>
        <v>0</v>
      </c>
      <c r="L50" s="121">
        <f>Сводный!L41</f>
        <v>0</v>
      </c>
      <c r="M50" s="86">
        <f>Сводный!M41</f>
        <v>0</v>
      </c>
      <c r="N50" s="83">
        <f>Сводный!N41</f>
        <v>0</v>
      </c>
      <c r="O50" s="121">
        <f>Сводный!O41</f>
        <v>0</v>
      </c>
      <c r="P50" s="82">
        <f>Сводный!P41</f>
        <v>0</v>
      </c>
      <c r="Q50" s="84">
        <f t="shared" si="3"/>
        <v>0</v>
      </c>
      <c r="R50" s="84">
        <f t="shared" si="4"/>
        <v>0</v>
      </c>
    </row>
    <row r="51" spans="1:18" s="37" customFormat="1" ht="18" customHeight="1" hidden="1">
      <c r="A51" s="53" t="s">
        <v>79</v>
      </c>
      <c r="B51" s="85">
        <f>Сводный!B42</f>
        <v>0</v>
      </c>
      <c r="C51" s="121">
        <f>Сводный!C42</f>
        <v>0</v>
      </c>
      <c r="D51" s="86">
        <f>Сводный!D42</f>
        <v>0</v>
      </c>
      <c r="E51" s="85">
        <f>Сводный!E42</f>
        <v>0</v>
      </c>
      <c r="F51" s="141">
        <f>Сводный!F42</f>
        <v>0</v>
      </c>
      <c r="G51" s="86">
        <f>Сводный!G42</f>
        <v>0</v>
      </c>
      <c r="H51" s="85">
        <f>Сводный!H42</f>
        <v>0</v>
      </c>
      <c r="I51" s="141">
        <f>Сводный!I42</f>
        <v>0</v>
      </c>
      <c r="J51" s="86">
        <f>Сводный!J42</f>
        <v>0</v>
      </c>
      <c r="K51" s="85">
        <f>Сводный!K42</f>
        <v>0</v>
      </c>
      <c r="L51" s="121">
        <f>Сводный!L42</f>
        <v>0</v>
      </c>
      <c r="M51" s="86">
        <f>Сводный!M42</f>
        <v>0</v>
      </c>
      <c r="N51" s="83">
        <f>Сводный!N42</f>
        <v>0</v>
      </c>
      <c r="O51" s="121">
        <f>Сводный!O42</f>
        <v>0</v>
      </c>
      <c r="P51" s="82">
        <f>Сводный!P42</f>
        <v>0</v>
      </c>
      <c r="Q51" s="84">
        <f t="shared" si="3"/>
        <v>0</v>
      </c>
      <c r="R51" s="84">
        <f t="shared" si="4"/>
        <v>0</v>
      </c>
    </row>
    <row r="52" spans="1:18" s="37" customFormat="1" ht="18" customHeight="1" hidden="1">
      <c r="A52" s="53" t="s">
        <v>22</v>
      </c>
      <c r="B52" s="85">
        <f>Сводный!B43</f>
        <v>0</v>
      </c>
      <c r="C52" s="121">
        <f>Сводный!C43</f>
        <v>0</v>
      </c>
      <c r="D52" s="86">
        <f>Сводный!D43</f>
        <v>0</v>
      </c>
      <c r="E52" s="85">
        <f>Сводный!E43</f>
        <v>0</v>
      </c>
      <c r="F52" s="141">
        <f>Сводный!F43</f>
        <v>0</v>
      </c>
      <c r="G52" s="86">
        <f>Сводный!G43</f>
        <v>0</v>
      </c>
      <c r="H52" s="85">
        <f>Сводный!H43</f>
        <v>0</v>
      </c>
      <c r="I52" s="141">
        <f>Сводный!I43</f>
        <v>0</v>
      </c>
      <c r="J52" s="86">
        <f>Сводный!J43</f>
        <v>0</v>
      </c>
      <c r="K52" s="85">
        <f>Сводный!K43</f>
        <v>0</v>
      </c>
      <c r="L52" s="121">
        <f>Сводный!L43</f>
        <v>0</v>
      </c>
      <c r="M52" s="86">
        <f>Сводный!M43</f>
        <v>0</v>
      </c>
      <c r="N52" s="83">
        <f>Сводный!N43</f>
        <v>0</v>
      </c>
      <c r="O52" s="121">
        <f>Сводный!O43</f>
        <v>0</v>
      </c>
      <c r="P52" s="82">
        <f>Сводный!P43</f>
        <v>0</v>
      </c>
      <c r="Q52" s="84">
        <f t="shared" si="3"/>
        <v>0</v>
      </c>
      <c r="R52" s="84">
        <f t="shared" si="4"/>
        <v>0</v>
      </c>
    </row>
    <row r="53" spans="1:18" s="37" customFormat="1" ht="18" customHeight="1" hidden="1">
      <c r="A53" s="53" t="s">
        <v>27</v>
      </c>
      <c r="B53" s="85">
        <f>Сводный!B44</f>
        <v>0</v>
      </c>
      <c r="C53" s="121">
        <f>Сводный!C44</f>
        <v>0</v>
      </c>
      <c r="D53" s="86">
        <f>Сводный!D44</f>
        <v>0</v>
      </c>
      <c r="E53" s="85">
        <f>Сводный!E44</f>
        <v>0</v>
      </c>
      <c r="F53" s="141">
        <f>Сводный!F44</f>
        <v>0</v>
      </c>
      <c r="G53" s="86">
        <f>Сводный!G44</f>
        <v>0</v>
      </c>
      <c r="H53" s="85">
        <f>Сводный!H44</f>
        <v>0</v>
      </c>
      <c r="I53" s="141">
        <f>Сводный!I44</f>
        <v>0</v>
      </c>
      <c r="J53" s="86">
        <f>Сводный!J44</f>
        <v>0</v>
      </c>
      <c r="K53" s="85">
        <f>Сводный!K44</f>
        <v>0</v>
      </c>
      <c r="L53" s="121">
        <f>Сводный!L44</f>
        <v>0</v>
      </c>
      <c r="M53" s="86">
        <f>Сводный!M44</f>
        <v>0</v>
      </c>
      <c r="N53" s="83">
        <f>Сводный!N44</f>
        <v>0</v>
      </c>
      <c r="O53" s="121">
        <f>Сводный!O44</f>
        <v>0</v>
      </c>
      <c r="P53" s="82">
        <f>Сводный!P44</f>
        <v>0</v>
      </c>
      <c r="Q53" s="84">
        <f t="shared" si="3"/>
        <v>0</v>
      </c>
      <c r="R53" s="84">
        <f t="shared" si="4"/>
        <v>0</v>
      </c>
    </row>
    <row r="54" spans="1:18" s="37" customFormat="1" ht="18" customHeight="1" hidden="1">
      <c r="A54" s="53" t="s">
        <v>74</v>
      </c>
      <c r="B54" s="85">
        <f>Сводный!B45</f>
        <v>0</v>
      </c>
      <c r="C54" s="121">
        <f>Сводный!C45</f>
        <v>0</v>
      </c>
      <c r="D54" s="86">
        <f>Сводный!D45</f>
        <v>0</v>
      </c>
      <c r="E54" s="85">
        <f>Сводный!E45</f>
        <v>0</v>
      </c>
      <c r="F54" s="141">
        <f>Сводный!F45</f>
        <v>0</v>
      </c>
      <c r="G54" s="86">
        <f>Сводный!G45</f>
        <v>0</v>
      </c>
      <c r="H54" s="85">
        <f>Сводный!H45</f>
        <v>0</v>
      </c>
      <c r="I54" s="141">
        <f>Сводный!I45</f>
        <v>0</v>
      </c>
      <c r="J54" s="86">
        <f>Сводный!J45</f>
        <v>0</v>
      </c>
      <c r="K54" s="85">
        <f>Сводный!K45</f>
        <v>0</v>
      </c>
      <c r="L54" s="121">
        <f>Сводный!L45</f>
        <v>0</v>
      </c>
      <c r="M54" s="86">
        <f>Сводный!M45</f>
        <v>0</v>
      </c>
      <c r="N54" s="83">
        <f>Сводный!N45</f>
        <v>0</v>
      </c>
      <c r="O54" s="121">
        <f>Сводный!O45</f>
        <v>0</v>
      </c>
      <c r="P54" s="82">
        <f>Сводный!P45</f>
        <v>0</v>
      </c>
      <c r="Q54" s="84">
        <f t="shared" si="3"/>
        <v>0</v>
      </c>
      <c r="R54" s="84">
        <f t="shared" si="4"/>
        <v>0</v>
      </c>
    </row>
    <row r="55" spans="1:18" s="37" customFormat="1" ht="28.5" customHeight="1" hidden="1">
      <c r="A55" s="51" t="s">
        <v>25</v>
      </c>
      <c r="B55" s="85">
        <f>Сводный!B46</f>
        <v>0</v>
      </c>
      <c r="C55" s="121">
        <f>Сводный!C46</f>
        <v>0</v>
      </c>
      <c r="D55" s="86">
        <f>Сводный!D46</f>
        <v>0</v>
      </c>
      <c r="E55" s="85">
        <f>Сводный!E46</f>
        <v>0</v>
      </c>
      <c r="F55" s="141">
        <f>Сводный!F46</f>
        <v>0</v>
      </c>
      <c r="G55" s="86">
        <f>Сводный!G46</f>
        <v>0</v>
      </c>
      <c r="H55" s="85">
        <f>Сводный!H46</f>
        <v>0</v>
      </c>
      <c r="I55" s="141">
        <f>Сводный!I46</f>
        <v>0</v>
      </c>
      <c r="J55" s="86">
        <f>Сводный!J46</f>
        <v>0</v>
      </c>
      <c r="K55" s="85">
        <f>Сводный!K46</f>
        <v>0</v>
      </c>
      <c r="L55" s="121">
        <f>Сводный!L46</f>
        <v>0</v>
      </c>
      <c r="M55" s="86">
        <f>Сводный!M46</f>
        <v>0</v>
      </c>
      <c r="N55" s="83">
        <f>Сводный!N46</f>
        <v>0</v>
      </c>
      <c r="O55" s="121">
        <f>Сводный!O46</f>
        <v>0</v>
      </c>
      <c r="P55" s="82">
        <f>Сводный!P46</f>
        <v>0</v>
      </c>
      <c r="Q55" s="84">
        <f t="shared" si="3"/>
        <v>0</v>
      </c>
      <c r="R55" s="84">
        <f t="shared" si="4"/>
        <v>0</v>
      </c>
    </row>
    <row r="56" spans="1:18" s="37" customFormat="1" ht="18" customHeight="1" hidden="1">
      <c r="A56" s="53" t="s">
        <v>62</v>
      </c>
      <c r="B56" s="85">
        <f>Сводный!B47</f>
        <v>0</v>
      </c>
      <c r="C56" s="121">
        <f>Сводный!C47</f>
        <v>0</v>
      </c>
      <c r="D56" s="86">
        <f>Сводный!D47</f>
        <v>0</v>
      </c>
      <c r="E56" s="85">
        <f>Сводный!E47</f>
        <v>0</v>
      </c>
      <c r="F56" s="141">
        <f>Сводный!F47</f>
        <v>0</v>
      </c>
      <c r="G56" s="86">
        <f>Сводный!G47</f>
        <v>0</v>
      </c>
      <c r="H56" s="85">
        <f>Сводный!H47</f>
        <v>0</v>
      </c>
      <c r="I56" s="141">
        <f>Сводный!I47</f>
        <v>0</v>
      </c>
      <c r="J56" s="86">
        <f>Сводный!J47</f>
        <v>0</v>
      </c>
      <c r="K56" s="85">
        <f>Сводный!K47</f>
        <v>0</v>
      </c>
      <c r="L56" s="121">
        <f>Сводный!L47</f>
        <v>0</v>
      </c>
      <c r="M56" s="86">
        <f>Сводный!M47</f>
        <v>0</v>
      </c>
      <c r="N56" s="83">
        <f>Сводный!N47</f>
        <v>0</v>
      </c>
      <c r="O56" s="121">
        <f>Сводный!O47</f>
        <v>0</v>
      </c>
      <c r="P56" s="82">
        <f>Сводный!P47</f>
        <v>0</v>
      </c>
      <c r="Q56" s="84">
        <f t="shared" si="3"/>
        <v>0</v>
      </c>
      <c r="R56" s="84">
        <f t="shared" si="4"/>
        <v>0</v>
      </c>
    </row>
    <row r="57" spans="1:18" s="37" customFormat="1" ht="18" customHeight="1" hidden="1">
      <c r="A57" s="53" t="s">
        <v>76</v>
      </c>
      <c r="B57" s="85">
        <f>Сводный!B48</f>
        <v>0</v>
      </c>
      <c r="C57" s="121">
        <f>Сводный!C48</f>
        <v>0</v>
      </c>
      <c r="D57" s="86">
        <f>Сводный!D48</f>
        <v>0</v>
      </c>
      <c r="E57" s="85">
        <f>Сводный!E48</f>
        <v>0</v>
      </c>
      <c r="F57" s="141">
        <f>Сводный!F48</f>
        <v>0</v>
      </c>
      <c r="G57" s="86">
        <f>Сводный!G48</f>
        <v>0</v>
      </c>
      <c r="H57" s="85">
        <f>Сводный!H48</f>
        <v>0</v>
      </c>
      <c r="I57" s="141">
        <f>Сводный!I48</f>
        <v>0</v>
      </c>
      <c r="J57" s="86">
        <f>Сводный!J48</f>
        <v>0</v>
      </c>
      <c r="K57" s="85">
        <f>Сводный!K48</f>
        <v>0</v>
      </c>
      <c r="L57" s="121">
        <f>Сводный!L48</f>
        <v>0</v>
      </c>
      <c r="M57" s="86">
        <f>Сводный!M48</f>
        <v>0</v>
      </c>
      <c r="N57" s="83">
        <f>Сводный!N48</f>
        <v>0</v>
      </c>
      <c r="O57" s="121">
        <f>Сводный!O48</f>
        <v>0</v>
      </c>
      <c r="P57" s="82">
        <f>Сводный!P48</f>
        <v>0</v>
      </c>
      <c r="Q57" s="84">
        <f t="shared" si="3"/>
        <v>0</v>
      </c>
      <c r="R57" s="84">
        <f t="shared" si="4"/>
        <v>0</v>
      </c>
    </row>
    <row r="58" spans="1:18" s="37" customFormat="1" ht="18" customHeight="1" hidden="1">
      <c r="A58" s="53" t="s">
        <v>29</v>
      </c>
      <c r="B58" s="85">
        <f>Сводный!B49</f>
        <v>0</v>
      </c>
      <c r="C58" s="121">
        <f>Сводный!C49</f>
        <v>0</v>
      </c>
      <c r="D58" s="86">
        <f>Сводный!D49</f>
        <v>0</v>
      </c>
      <c r="E58" s="85">
        <f>Сводный!E49</f>
        <v>0</v>
      </c>
      <c r="F58" s="141">
        <f>Сводный!F49</f>
        <v>0</v>
      </c>
      <c r="G58" s="86">
        <f>Сводный!G49</f>
        <v>0</v>
      </c>
      <c r="H58" s="85">
        <f>Сводный!H49</f>
        <v>0</v>
      </c>
      <c r="I58" s="141">
        <f>Сводный!I49</f>
        <v>0</v>
      </c>
      <c r="J58" s="86">
        <f>Сводный!J49</f>
        <v>0</v>
      </c>
      <c r="K58" s="85">
        <f>Сводный!K49</f>
        <v>0</v>
      </c>
      <c r="L58" s="121">
        <f>Сводный!L49</f>
        <v>0</v>
      </c>
      <c r="M58" s="86">
        <f>Сводный!M49</f>
        <v>0</v>
      </c>
      <c r="N58" s="83">
        <f>Сводный!N49</f>
        <v>0</v>
      </c>
      <c r="O58" s="121">
        <f>Сводный!O49</f>
        <v>0</v>
      </c>
      <c r="P58" s="82">
        <f>Сводный!P49</f>
        <v>0</v>
      </c>
      <c r="Q58" s="84">
        <f t="shared" si="3"/>
        <v>0</v>
      </c>
      <c r="R58" s="84">
        <f t="shared" si="4"/>
        <v>0</v>
      </c>
    </row>
    <row r="59" spans="1:18" s="37" customFormat="1" ht="18" customHeight="1" hidden="1">
      <c r="A59" s="53" t="s">
        <v>34</v>
      </c>
      <c r="B59" s="85">
        <f>Сводный!B50</f>
        <v>0</v>
      </c>
      <c r="C59" s="121">
        <f>Сводный!C50</f>
        <v>0</v>
      </c>
      <c r="D59" s="86">
        <f>Сводный!D50</f>
        <v>0</v>
      </c>
      <c r="E59" s="85">
        <f>Сводный!E50</f>
        <v>0</v>
      </c>
      <c r="F59" s="141">
        <f>Сводный!F50</f>
        <v>0</v>
      </c>
      <c r="G59" s="86">
        <f>Сводный!G50</f>
        <v>0</v>
      </c>
      <c r="H59" s="85">
        <f>Сводный!H50</f>
        <v>0</v>
      </c>
      <c r="I59" s="141">
        <f>Сводный!I50</f>
        <v>0</v>
      </c>
      <c r="J59" s="86">
        <f>Сводный!J50</f>
        <v>0</v>
      </c>
      <c r="K59" s="85">
        <f>Сводный!K50</f>
        <v>0</v>
      </c>
      <c r="L59" s="121">
        <f>Сводный!L50</f>
        <v>0</v>
      </c>
      <c r="M59" s="86">
        <f>Сводный!M50</f>
        <v>0</v>
      </c>
      <c r="N59" s="83">
        <f>Сводный!N50</f>
        <v>0</v>
      </c>
      <c r="O59" s="121">
        <f>Сводный!O50</f>
        <v>0</v>
      </c>
      <c r="P59" s="82">
        <f>Сводный!P50</f>
        <v>0</v>
      </c>
      <c r="Q59" s="84">
        <f t="shared" si="3"/>
        <v>0</v>
      </c>
      <c r="R59" s="84">
        <f t="shared" si="4"/>
        <v>0</v>
      </c>
    </row>
    <row r="60" spans="1:18" s="37" customFormat="1" ht="18" customHeight="1" hidden="1">
      <c r="A60" s="53" t="s">
        <v>75</v>
      </c>
      <c r="B60" s="85">
        <f>Сводный!B51</f>
        <v>0</v>
      </c>
      <c r="C60" s="121">
        <f>Сводный!C51</f>
        <v>0</v>
      </c>
      <c r="D60" s="86">
        <f>Сводный!D51</f>
        <v>0</v>
      </c>
      <c r="E60" s="85">
        <f>Сводный!E51</f>
        <v>0</v>
      </c>
      <c r="F60" s="141">
        <f>Сводный!F51</f>
        <v>0</v>
      </c>
      <c r="G60" s="86">
        <f>Сводный!G51</f>
        <v>0</v>
      </c>
      <c r="H60" s="85">
        <f>Сводный!H51</f>
        <v>0</v>
      </c>
      <c r="I60" s="141">
        <f>Сводный!I51</f>
        <v>0</v>
      </c>
      <c r="J60" s="86">
        <f>Сводный!J51</f>
        <v>0</v>
      </c>
      <c r="K60" s="85">
        <f>Сводный!K51</f>
        <v>0</v>
      </c>
      <c r="L60" s="121">
        <f>Сводный!L51</f>
        <v>0</v>
      </c>
      <c r="M60" s="86">
        <f>Сводный!M51</f>
        <v>0</v>
      </c>
      <c r="N60" s="83">
        <f>Сводный!N51</f>
        <v>0</v>
      </c>
      <c r="O60" s="121">
        <f>Сводный!O51</f>
        <v>0</v>
      </c>
      <c r="P60" s="82">
        <f>Сводный!P51</f>
        <v>0</v>
      </c>
      <c r="Q60" s="84">
        <f t="shared" si="3"/>
        <v>0</v>
      </c>
      <c r="R60" s="84">
        <f t="shared" si="4"/>
        <v>0</v>
      </c>
    </row>
    <row r="61" spans="1:18" s="37" customFormat="1" ht="18" customHeight="1" hidden="1">
      <c r="A61" s="53" t="s">
        <v>66</v>
      </c>
      <c r="B61" s="85">
        <f>Сводный!B52</f>
        <v>0</v>
      </c>
      <c r="C61" s="121">
        <f>Сводный!C52</f>
        <v>0</v>
      </c>
      <c r="D61" s="86">
        <f>Сводный!D52</f>
        <v>0</v>
      </c>
      <c r="E61" s="85">
        <f>Сводный!E52</f>
        <v>0</v>
      </c>
      <c r="F61" s="141">
        <f>Сводный!F52</f>
        <v>0</v>
      </c>
      <c r="G61" s="86">
        <f>Сводный!G52</f>
        <v>0</v>
      </c>
      <c r="H61" s="85">
        <f>Сводный!H52</f>
        <v>0</v>
      </c>
      <c r="I61" s="141">
        <f>Сводный!I52</f>
        <v>0</v>
      </c>
      <c r="J61" s="86">
        <f>Сводный!J52</f>
        <v>0</v>
      </c>
      <c r="K61" s="85">
        <f>Сводный!K52</f>
        <v>0</v>
      </c>
      <c r="L61" s="121">
        <f>Сводный!L52</f>
        <v>0</v>
      </c>
      <c r="M61" s="86">
        <f>Сводный!M52</f>
        <v>0</v>
      </c>
      <c r="N61" s="83">
        <f>Сводный!N52</f>
        <v>0</v>
      </c>
      <c r="O61" s="121">
        <f>Сводный!O52</f>
        <v>0</v>
      </c>
      <c r="P61" s="82">
        <f>Сводный!P52</f>
        <v>0</v>
      </c>
      <c r="Q61" s="84">
        <f t="shared" si="3"/>
        <v>0</v>
      </c>
      <c r="R61" s="84">
        <f t="shared" si="4"/>
        <v>0</v>
      </c>
    </row>
    <row r="62" spans="1:18" s="37" customFormat="1" ht="18" customHeight="1" hidden="1">
      <c r="A62" s="53" t="s">
        <v>37</v>
      </c>
      <c r="B62" s="85">
        <f>Сводный!B53</f>
        <v>0</v>
      </c>
      <c r="C62" s="121">
        <f>Сводный!C53</f>
        <v>0</v>
      </c>
      <c r="D62" s="86">
        <f>Сводный!D53</f>
        <v>0</v>
      </c>
      <c r="E62" s="85">
        <f>Сводный!E53</f>
        <v>0</v>
      </c>
      <c r="F62" s="141">
        <f>Сводный!F53</f>
        <v>0</v>
      </c>
      <c r="G62" s="86">
        <f>Сводный!G53</f>
        <v>0</v>
      </c>
      <c r="H62" s="85">
        <f>Сводный!H53</f>
        <v>0</v>
      </c>
      <c r="I62" s="141">
        <f>Сводный!I53</f>
        <v>0</v>
      </c>
      <c r="J62" s="86">
        <f>Сводный!J53</f>
        <v>0</v>
      </c>
      <c r="K62" s="85">
        <f>Сводный!K53</f>
        <v>0</v>
      </c>
      <c r="L62" s="121">
        <f>Сводный!L53</f>
        <v>0</v>
      </c>
      <c r="M62" s="86">
        <f>Сводный!M53</f>
        <v>0</v>
      </c>
      <c r="N62" s="83">
        <f>Сводный!N53</f>
        <v>0</v>
      </c>
      <c r="O62" s="121">
        <f>Сводный!O53</f>
        <v>0</v>
      </c>
      <c r="P62" s="82">
        <f>Сводный!P53</f>
        <v>0</v>
      </c>
      <c r="Q62" s="84">
        <f t="shared" si="3"/>
        <v>0</v>
      </c>
      <c r="R62" s="84">
        <f t="shared" si="4"/>
        <v>0</v>
      </c>
    </row>
    <row r="63" spans="1:18" s="37" customFormat="1" ht="18" customHeight="1" hidden="1">
      <c r="A63" s="53" t="s">
        <v>38</v>
      </c>
      <c r="B63" s="85">
        <f>Сводный!B54</f>
        <v>0</v>
      </c>
      <c r="C63" s="121">
        <f>Сводный!C54</f>
        <v>0</v>
      </c>
      <c r="D63" s="86">
        <f>Сводный!D54</f>
        <v>0</v>
      </c>
      <c r="E63" s="85">
        <f>Сводный!E54</f>
        <v>0</v>
      </c>
      <c r="F63" s="141">
        <f>Сводный!F54</f>
        <v>0</v>
      </c>
      <c r="G63" s="86">
        <f>Сводный!G54</f>
        <v>0</v>
      </c>
      <c r="H63" s="85">
        <f>Сводный!H54</f>
        <v>0</v>
      </c>
      <c r="I63" s="141">
        <f>Сводный!I54</f>
        <v>0</v>
      </c>
      <c r="J63" s="86">
        <f>Сводный!J54</f>
        <v>0</v>
      </c>
      <c r="K63" s="85">
        <f>Сводный!K54</f>
        <v>0</v>
      </c>
      <c r="L63" s="121">
        <f>Сводный!L54</f>
        <v>0</v>
      </c>
      <c r="M63" s="86">
        <f>Сводный!M54</f>
        <v>0</v>
      </c>
      <c r="N63" s="83">
        <f>Сводный!N54</f>
        <v>0</v>
      </c>
      <c r="O63" s="121">
        <f>Сводный!O54</f>
        <v>0</v>
      </c>
      <c r="P63" s="82">
        <f>Сводный!P54</f>
        <v>0</v>
      </c>
      <c r="Q63" s="84">
        <f t="shared" si="3"/>
        <v>0</v>
      </c>
      <c r="R63" s="84">
        <f t="shared" si="4"/>
        <v>0</v>
      </c>
    </row>
    <row r="64" spans="1:18" s="37" customFormat="1" ht="18" customHeight="1" hidden="1">
      <c r="A64" s="53" t="s">
        <v>65</v>
      </c>
      <c r="B64" s="85">
        <f>Сводный!B55</f>
        <v>0</v>
      </c>
      <c r="C64" s="121">
        <f>Сводный!C55</f>
        <v>0</v>
      </c>
      <c r="D64" s="86">
        <f>Сводный!D55</f>
        <v>0</v>
      </c>
      <c r="E64" s="85">
        <f>Сводный!E55</f>
        <v>0</v>
      </c>
      <c r="F64" s="141">
        <f>Сводный!F55</f>
        <v>0</v>
      </c>
      <c r="G64" s="86">
        <f>Сводный!G55</f>
        <v>0</v>
      </c>
      <c r="H64" s="85">
        <f>Сводный!H55</f>
        <v>0</v>
      </c>
      <c r="I64" s="141">
        <f>Сводный!I55</f>
        <v>0</v>
      </c>
      <c r="J64" s="86">
        <f>Сводный!J55</f>
        <v>0</v>
      </c>
      <c r="K64" s="85">
        <f>Сводный!K55</f>
        <v>0</v>
      </c>
      <c r="L64" s="121">
        <f>Сводный!L55</f>
        <v>0</v>
      </c>
      <c r="M64" s="86">
        <f>Сводный!M55</f>
        <v>0</v>
      </c>
      <c r="N64" s="83">
        <f>Сводный!N55</f>
        <v>0</v>
      </c>
      <c r="O64" s="121">
        <f>Сводный!O55</f>
        <v>0</v>
      </c>
      <c r="P64" s="82">
        <f>Сводный!P55</f>
        <v>0</v>
      </c>
      <c r="Q64" s="84">
        <f t="shared" si="3"/>
        <v>0</v>
      </c>
      <c r="R64" s="84">
        <f t="shared" si="4"/>
        <v>0</v>
      </c>
    </row>
    <row r="65" spans="1:18" s="37" customFormat="1" ht="18" customHeight="1" hidden="1">
      <c r="A65" s="53" t="s">
        <v>77</v>
      </c>
      <c r="B65" s="85">
        <f>Сводный!B56</f>
        <v>0</v>
      </c>
      <c r="C65" s="121">
        <f>Сводный!C56</f>
        <v>0</v>
      </c>
      <c r="D65" s="86">
        <f>Сводный!D56</f>
        <v>0</v>
      </c>
      <c r="E65" s="85">
        <f>Сводный!E56</f>
        <v>0</v>
      </c>
      <c r="F65" s="141">
        <f>Сводный!F56</f>
        <v>0</v>
      </c>
      <c r="G65" s="86">
        <f>Сводный!G56</f>
        <v>0</v>
      </c>
      <c r="H65" s="85">
        <f>Сводный!H56</f>
        <v>0</v>
      </c>
      <c r="I65" s="141">
        <f>Сводный!I56</f>
        <v>0</v>
      </c>
      <c r="J65" s="86">
        <f>Сводный!J56</f>
        <v>0</v>
      </c>
      <c r="K65" s="85">
        <f>Сводный!K56</f>
        <v>0</v>
      </c>
      <c r="L65" s="121">
        <f>Сводный!L56</f>
        <v>0</v>
      </c>
      <c r="M65" s="86">
        <f>Сводный!M56</f>
        <v>0</v>
      </c>
      <c r="N65" s="83">
        <f>Сводный!N56</f>
        <v>0</v>
      </c>
      <c r="O65" s="121">
        <f>Сводный!O56</f>
        <v>0</v>
      </c>
      <c r="P65" s="82">
        <f>Сводный!P56</f>
        <v>0</v>
      </c>
      <c r="Q65" s="84">
        <f t="shared" si="3"/>
        <v>0</v>
      </c>
      <c r="R65" s="84">
        <f t="shared" si="4"/>
        <v>0</v>
      </c>
    </row>
    <row r="66" spans="1:18" s="37" customFormat="1" ht="18" customHeight="1" hidden="1">
      <c r="A66" s="53" t="s">
        <v>72</v>
      </c>
      <c r="B66" s="85">
        <f>Сводный!B57</f>
        <v>0</v>
      </c>
      <c r="C66" s="121">
        <f>Сводный!C57</f>
        <v>0</v>
      </c>
      <c r="D66" s="86">
        <f>Сводный!D57</f>
        <v>0</v>
      </c>
      <c r="E66" s="85">
        <f>Сводный!E57</f>
        <v>0</v>
      </c>
      <c r="F66" s="141">
        <f>Сводный!F57</f>
        <v>0</v>
      </c>
      <c r="G66" s="86">
        <f>Сводный!G57</f>
        <v>0</v>
      </c>
      <c r="H66" s="85">
        <f>Сводный!H57</f>
        <v>0</v>
      </c>
      <c r="I66" s="141">
        <f>Сводный!I57</f>
        <v>0</v>
      </c>
      <c r="J66" s="86">
        <f>Сводный!J57</f>
        <v>0</v>
      </c>
      <c r="K66" s="85">
        <f>Сводный!K57</f>
        <v>0</v>
      </c>
      <c r="L66" s="121">
        <f>Сводный!L57</f>
        <v>0</v>
      </c>
      <c r="M66" s="86">
        <f>Сводный!M57</f>
        <v>0</v>
      </c>
      <c r="N66" s="83">
        <f>Сводный!N57</f>
        <v>0</v>
      </c>
      <c r="O66" s="121">
        <f>Сводный!O57</f>
        <v>0</v>
      </c>
      <c r="P66" s="82">
        <f>Сводный!P57</f>
        <v>0</v>
      </c>
      <c r="Q66" s="84">
        <f t="shared" si="3"/>
        <v>0</v>
      </c>
      <c r="R66" s="84">
        <f t="shared" si="4"/>
        <v>0</v>
      </c>
    </row>
    <row r="67" spans="1:18" s="37" customFormat="1" ht="18" customHeight="1" hidden="1">
      <c r="A67" s="53" t="s">
        <v>71</v>
      </c>
      <c r="B67" s="85">
        <f>Сводный!B58</f>
        <v>0</v>
      </c>
      <c r="C67" s="121">
        <f>Сводный!C58</f>
        <v>0</v>
      </c>
      <c r="D67" s="86">
        <f>Сводный!D58</f>
        <v>0</v>
      </c>
      <c r="E67" s="85">
        <f>Сводный!E58</f>
        <v>0</v>
      </c>
      <c r="F67" s="141">
        <f>Сводный!F58</f>
        <v>0</v>
      </c>
      <c r="G67" s="86">
        <f>Сводный!G58</f>
        <v>0</v>
      </c>
      <c r="H67" s="85">
        <f>Сводный!H58</f>
        <v>0</v>
      </c>
      <c r="I67" s="141">
        <f>Сводный!I58</f>
        <v>0</v>
      </c>
      <c r="J67" s="86">
        <f>Сводный!J58</f>
        <v>0</v>
      </c>
      <c r="K67" s="85">
        <f>Сводный!K58</f>
        <v>0</v>
      </c>
      <c r="L67" s="121">
        <f>Сводный!L58</f>
        <v>0</v>
      </c>
      <c r="M67" s="86">
        <f>Сводный!M58</f>
        <v>0</v>
      </c>
      <c r="N67" s="83">
        <f>Сводный!N58</f>
        <v>0</v>
      </c>
      <c r="O67" s="121">
        <f>Сводный!O58</f>
        <v>0</v>
      </c>
      <c r="P67" s="82">
        <f>Сводный!P58</f>
        <v>0</v>
      </c>
      <c r="Q67" s="84">
        <f t="shared" si="3"/>
        <v>0</v>
      </c>
      <c r="R67" s="84">
        <f t="shared" si="4"/>
        <v>0</v>
      </c>
    </row>
    <row r="68" spans="1:18" s="37" customFormat="1" ht="25.5" hidden="1">
      <c r="A68" s="51" t="s">
        <v>69</v>
      </c>
      <c r="B68" s="85">
        <f>Сводный!B59</f>
        <v>0</v>
      </c>
      <c r="C68" s="121">
        <f>Сводный!C59</f>
        <v>0</v>
      </c>
      <c r="D68" s="86">
        <f>Сводный!D59</f>
        <v>0</v>
      </c>
      <c r="E68" s="85">
        <f>Сводный!E59</f>
        <v>0</v>
      </c>
      <c r="F68" s="141">
        <f>Сводный!F59</f>
        <v>0</v>
      </c>
      <c r="G68" s="86">
        <f>Сводный!G59</f>
        <v>0</v>
      </c>
      <c r="H68" s="85">
        <f>Сводный!H59</f>
        <v>0</v>
      </c>
      <c r="I68" s="141">
        <f>Сводный!I59</f>
        <v>0</v>
      </c>
      <c r="J68" s="86">
        <f>Сводный!J59</f>
        <v>0</v>
      </c>
      <c r="K68" s="85">
        <f>Сводный!K59</f>
        <v>0</v>
      </c>
      <c r="L68" s="121">
        <f>Сводный!L59</f>
        <v>0</v>
      </c>
      <c r="M68" s="86">
        <f>Сводный!M59</f>
        <v>0</v>
      </c>
      <c r="N68" s="83">
        <f>Сводный!N59</f>
        <v>0</v>
      </c>
      <c r="O68" s="121">
        <f>Сводный!O59</f>
        <v>0</v>
      </c>
      <c r="P68" s="82">
        <f>Сводный!P59</f>
        <v>0</v>
      </c>
      <c r="Q68" s="84">
        <f t="shared" si="3"/>
        <v>0</v>
      </c>
      <c r="R68" s="84">
        <f t="shared" si="4"/>
        <v>0</v>
      </c>
    </row>
    <row r="69" spans="1:18" s="37" customFormat="1" ht="25.5" hidden="1">
      <c r="A69" s="51" t="s">
        <v>78</v>
      </c>
      <c r="B69" s="85">
        <f>Сводный!B60</f>
        <v>0</v>
      </c>
      <c r="C69" s="121">
        <f>Сводный!C60</f>
        <v>0</v>
      </c>
      <c r="D69" s="86">
        <f>Сводный!D60</f>
        <v>0</v>
      </c>
      <c r="E69" s="85">
        <f>Сводный!E60</f>
        <v>0</v>
      </c>
      <c r="F69" s="141">
        <f>Сводный!F60</f>
        <v>0</v>
      </c>
      <c r="G69" s="86">
        <f>Сводный!G60</f>
        <v>0</v>
      </c>
      <c r="H69" s="85">
        <f>Сводный!H60</f>
        <v>0</v>
      </c>
      <c r="I69" s="141">
        <f>Сводный!I60</f>
        <v>0</v>
      </c>
      <c r="J69" s="86">
        <f>Сводный!J60</f>
        <v>0</v>
      </c>
      <c r="K69" s="85">
        <f>Сводный!K60</f>
        <v>0</v>
      </c>
      <c r="L69" s="121">
        <f>Сводный!L60</f>
        <v>0</v>
      </c>
      <c r="M69" s="86">
        <f>Сводный!M60</f>
        <v>0</v>
      </c>
      <c r="N69" s="83">
        <f>Сводный!N60</f>
        <v>0</v>
      </c>
      <c r="O69" s="121">
        <f>Сводный!O60</f>
        <v>0</v>
      </c>
      <c r="P69" s="82">
        <f>Сводный!P60</f>
        <v>0</v>
      </c>
      <c r="Q69" s="84">
        <f t="shared" si="3"/>
        <v>0</v>
      </c>
      <c r="R69" s="84">
        <f t="shared" si="4"/>
        <v>0</v>
      </c>
    </row>
    <row r="70" spans="1:18" s="37" customFormat="1" ht="25.5" hidden="1">
      <c r="A70" s="51" t="s">
        <v>35</v>
      </c>
      <c r="B70" s="85">
        <f>Сводный!B61</f>
        <v>0</v>
      </c>
      <c r="C70" s="121">
        <f>Сводный!C61</f>
        <v>0</v>
      </c>
      <c r="D70" s="86">
        <f>Сводный!D61</f>
        <v>0</v>
      </c>
      <c r="E70" s="85">
        <f>Сводный!E61</f>
        <v>0</v>
      </c>
      <c r="F70" s="141">
        <f>Сводный!F61</f>
        <v>0</v>
      </c>
      <c r="G70" s="86">
        <f>Сводный!G61</f>
        <v>0</v>
      </c>
      <c r="H70" s="85">
        <f>Сводный!H61</f>
        <v>0</v>
      </c>
      <c r="I70" s="141">
        <f>Сводный!I61</f>
        <v>0</v>
      </c>
      <c r="J70" s="86">
        <f>Сводный!J61</f>
        <v>0</v>
      </c>
      <c r="K70" s="85">
        <f>Сводный!K61</f>
        <v>0</v>
      </c>
      <c r="L70" s="121">
        <f>Сводный!L61</f>
        <v>0</v>
      </c>
      <c r="M70" s="86">
        <f>Сводный!M61</f>
        <v>0</v>
      </c>
      <c r="N70" s="83">
        <f>Сводный!N61</f>
        <v>0</v>
      </c>
      <c r="O70" s="121">
        <f>Сводный!O61</f>
        <v>0</v>
      </c>
      <c r="P70" s="82">
        <f>Сводный!P61</f>
        <v>0</v>
      </c>
      <c r="Q70" s="84">
        <f t="shared" si="3"/>
        <v>0</v>
      </c>
      <c r="R70" s="84">
        <f t="shared" si="4"/>
        <v>0</v>
      </c>
    </row>
    <row r="71" spans="1:22" s="37" customFormat="1" ht="18" customHeight="1" hidden="1">
      <c r="A71" s="53" t="s">
        <v>68</v>
      </c>
      <c r="B71" s="85">
        <f>Сводный!B62</f>
        <v>0</v>
      </c>
      <c r="C71" s="121">
        <f>Сводный!C62</f>
        <v>0</v>
      </c>
      <c r="D71" s="86">
        <f>Сводный!D62</f>
        <v>0</v>
      </c>
      <c r="E71" s="85">
        <f>Сводный!E62</f>
        <v>0</v>
      </c>
      <c r="F71" s="141">
        <f>Сводный!F62</f>
        <v>0</v>
      </c>
      <c r="G71" s="86">
        <f>Сводный!G62</f>
        <v>0</v>
      </c>
      <c r="H71" s="85">
        <f>Сводный!H62</f>
        <v>0</v>
      </c>
      <c r="I71" s="141">
        <f>Сводный!I62</f>
        <v>0</v>
      </c>
      <c r="J71" s="86">
        <f>Сводный!J62</f>
        <v>0</v>
      </c>
      <c r="K71" s="85">
        <f>Сводный!K62</f>
        <v>0</v>
      </c>
      <c r="L71" s="121">
        <f>Сводный!L62</f>
        <v>0</v>
      </c>
      <c r="M71" s="86">
        <f>Сводный!M62</f>
        <v>0</v>
      </c>
      <c r="N71" s="83">
        <f>Сводный!N62</f>
        <v>0</v>
      </c>
      <c r="O71" s="121">
        <f>Сводный!O62</f>
        <v>0</v>
      </c>
      <c r="P71" s="82">
        <f>Сводный!P62</f>
        <v>0</v>
      </c>
      <c r="Q71" s="84">
        <f t="shared" si="3"/>
        <v>0</v>
      </c>
      <c r="R71" s="84">
        <f t="shared" si="4"/>
        <v>0</v>
      </c>
      <c r="V71" s="37" t="s">
        <v>112</v>
      </c>
    </row>
    <row r="72" spans="1:18" s="37" customFormat="1" ht="18" customHeight="1" hidden="1">
      <c r="A72" s="53" t="s">
        <v>44</v>
      </c>
      <c r="B72" s="85">
        <f>Сводный!B63</f>
        <v>0</v>
      </c>
      <c r="C72" s="121">
        <f>Сводный!C63</f>
        <v>0</v>
      </c>
      <c r="D72" s="86">
        <f>Сводный!D63</f>
        <v>0</v>
      </c>
      <c r="E72" s="85">
        <f>Сводный!E63</f>
        <v>0</v>
      </c>
      <c r="F72" s="141">
        <f>Сводный!F63</f>
        <v>0</v>
      </c>
      <c r="G72" s="86">
        <f>Сводный!G63</f>
        <v>0</v>
      </c>
      <c r="H72" s="85">
        <f>Сводный!H63</f>
        <v>0</v>
      </c>
      <c r="I72" s="141">
        <f>Сводный!I63</f>
        <v>0</v>
      </c>
      <c r="J72" s="86">
        <f>Сводный!J63</f>
        <v>0</v>
      </c>
      <c r="K72" s="85">
        <f>Сводный!K63</f>
        <v>0</v>
      </c>
      <c r="L72" s="121">
        <f>Сводный!L63</f>
        <v>0</v>
      </c>
      <c r="M72" s="86">
        <f>Сводный!M63</f>
        <v>0</v>
      </c>
      <c r="N72" s="83">
        <f>Сводный!N63</f>
        <v>0</v>
      </c>
      <c r="O72" s="121">
        <f>Сводный!O63</f>
        <v>0</v>
      </c>
      <c r="P72" s="82">
        <f>Сводный!P63</f>
        <v>0</v>
      </c>
      <c r="Q72" s="84">
        <f t="shared" si="3"/>
        <v>0</v>
      </c>
      <c r="R72" s="84">
        <f t="shared" si="4"/>
        <v>0</v>
      </c>
    </row>
    <row r="73" spans="1:18" s="37" customFormat="1" ht="18" customHeight="1" hidden="1">
      <c r="A73" s="53" t="s">
        <v>48</v>
      </c>
      <c r="B73" s="85">
        <f>Сводный!B64</f>
        <v>0</v>
      </c>
      <c r="C73" s="121">
        <f>Сводный!C64</f>
        <v>0</v>
      </c>
      <c r="D73" s="86">
        <f>Сводный!D64</f>
        <v>0</v>
      </c>
      <c r="E73" s="85">
        <f>Сводный!E64</f>
        <v>0</v>
      </c>
      <c r="F73" s="141">
        <f>Сводный!F64</f>
        <v>0</v>
      </c>
      <c r="G73" s="86">
        <f>Сводный!G64</f>
        <v>0</v>
      </c>
      <c r="H73" s="85">
        <f>Сводный!H64</f>
        <v>0</v>
      </c>
      <c r="I73" s="141">
        <f>Сводный!I64</f>
        <v>0</v>
      </c>
      <c r="J73" s="86">
        <f>Сводный!J64</f>
        <v>0</v>
      </c>
      <c r="K73" s="85">
        <f>Сводный!K64</f>
        <v>0</v>
      </c>
      <c r="L73" s="121">
        <f>Сводный!L64</f>
        <v>0</v>
      </c>
      <c r="M73" s="86">
        <f>Сводный!M64</f>
        <v>0</v>
      </c>
      <c r="N73" s="83">
        <f>Сводный!N64</f>
        <v>0</v>
      </c>
      <c r="O73" s="121">
        <f>Сводный!O64</f>
        <v>0</v>
      </c>
      <c r="P73" s="82">
        <f>Сводный!P64</f>
        <v>0</v>
      </c>
      <c r="Q73" s="84">
        <f t="shared" si="3"/>
        <v>0</v>
      </c>
      <c r="R73" s="84">
        <f t="shared" si="4"/>
        <v>0</v>
      </c>
    </row>
    <row r="74" spans="1:18" s="37" customFormat="1" ht="18" customHeight="1" hidden="1">
      <c r="A74" s="53" t="s">
        <v>49</v>
      </c>
      <c r="B74" s="85">
        <f>Сводный!B65</f>
        <v>0</v>
      </c>
      <c r="C74" s="121">
        <f>Сводный!C65</f>
        <v>0</v>
      </c>
      <c r="D74" s="86">
        <f>Сводный!D65</f>
        <v>0</v>
      </c>
      <c r="E74" s="85">
        <f>Сводный!E65</f>
        <v>0</v>
      </c>
      <c r="F74" s="141">
        <f>Сводный!F65</f>
        <v>0</v>
      </c>
      <c r="G74" s="86">
        <f>Сводный!G65</f>
        <v>0</v>
      </c>
      <c r="H74" s="85">
        <f>Сводный!H65</f>
        <v>0</v>
      </c>
      <c r="I74" s="141">
        <f>Сводный!I65</f>
        <v>0</v>
      </c>
      <c r="J74" s="86">
        <f>Сводный!J65</f>
        <v>0</v>
      </c>
      <c r="K74" s="85">
        <f>Сводный!K65</f>
        <v>0</v>
      </c>
      <c r="L74" s="121">
        <f>Сводный!L65</f>
        <v>0</v>
      </c>
      <c r="M74" s="86">
        <f>Сводный!M65</f>
        <v>0</v>
      </c>
      <c r="N74" s="83">
        <f>Сводный!N65</f>
        <v>0</v>
      </c>
      <c r="O74" s="121">
        <f>Сводный!O65</f>
        <v>0</v>
      </c>
      <c r="P74" s="82">
        <f>Сводный!P65</f>
        <v>0</v>
      </c>
      <c r="Q74" s="84">
        <f t="shared" si="3"/>
        <v>0</v>
      </c>
      <c r="R74" s="84">
        <f t="shared" si="4"/>
        <v>0</v>
      </c>
    </row>
    <row r="75" spans="1:18" s="37" customFormat="1" ht="18" customHeight="1" hidden="1">
      <c r="A75" s="53" t="s">
        <v>45</v>
      </c>
      <c r="B75" s="85">
        <f>Сводный!B66</f>
        <v>0</v>
      </c>
      <c r="C75" s="121">
        <f>Сводный!C66</f>
        <v>0</v>
      </c>
      <c r="D75" s="86">
        <f>Сводный!D66</f>
        <v>0</v>
      </c>
      <c r="E75" s="85">
        <f>Сводный!E66</f>
        <v>0</v>
      </c>
      <c r="F75" s="141">
        <f>Сводный!F66</f>
        <v>0</v>
      </c>
      <c r="G75" s="86">
        <f>Сводный!G66</f>
        <v>0</v>
      </c>
      <c r="H75" s="85">
        <f>Сводный!H66</f>
        <v>0</v>
      </c>
      <c r="I75" s="141">
        <f>Сводный!I66</f>
        <v>0</v>
      </c>
      <c r="J75" s="86">
        <f>Сводный!J66</f>
        <v>0</v>
      </c>
      <c r="K75" s="85">
        <f>Сводный!K66</f>
        <v>0</v>
      </c>
      <c r="L75" s="121">
        <f>Сводный!L66</f>
        <v>0</v>
      </c>
      <c r="M75" s="86">
        <f>Сводный!M66</f>
        <v>0</v>
      </c>
      <c r="N75" s="83">
        <f>Сводный!N66</f>
        <v>0</v>
      </c>
      <c r="O75" s="121">
        <f>Сводный!O66</f>
        <v>0</v>
      </c>
      <c r="P75" s="82">
        <f>Сводный!P66</f>
        <v>0</v>
      </c>
      <c r="Q75" s="84">
        <f t="shared" si="3"/>
        <v>0</v>
      </c>
      <c r="R75" s="84">
        <f t="shared" si="4"/>
        <v>0</v>
      </c>
    </row>
    <row r="76" spans="1:18" s="37" customFormat="1" ht="18" customHeight="1" hidden="1">
      <c r="A76" s="53" t="s">
        <v>46</v>
      </c>
      <c r="B76" s="85">
        <f>Сводный!B67</f>
        <v>0</v>
      </c>
      <c r="C76" s="121">
        <f>Сводный!C67</f>
        <v>0</v>
      </c>
      <c r="D76" s="86">
        <f>Сводный!D67</f>
        <v>0</v>
      </c>
      <c r="E76" s="85">
        <f>Сводный!E67</f>
        <v>0</v>
      </c>
      <c r="F76" s="141">
        <f>Сводный!F67</f>
        <v>0</v>
      </c>
      <c r="G76" s="86">
        <f>Сводный!G67</f>
        <v>0</v>
      </c>
      <c r="H76" s="85">
        <f>Сводный!H67</f>
        <v>0</v>
      </c>
      <c r="I76" s="141">
        <f>Сводный!I67</f>
        <v>0</v>
      </c>
      <c r="J76" s="86">
        <f>Сводный!J67</f>
        <v>0</v>
      </c>
      <c r="K76" s="85">
        <f>Сводный!K67</f>
        <v>0</v>
      </c>
      <c r="L76" s="121">
        <f>Сводный!L67</f>
        <v>0</v>
      </c>
      <c r="M76" s="86">
        <f>Сводный!M67</f>
        <v>0</v>
      </c>
      <c r="N76" s="83">
        <f>Сводный!N67</f>
        <v>0</v>
      </c>
      <c r="O76" s="121">
        <f>Сводный!O67</f>
        <v>0</v>
      </c>
      <c r="P76" s="82">
        <f>Сводный!P67</f>
        <v>0</v>
      </c>
      <c r="Q76" s="84">
        <f t="shared" si="3"/>
        <v>0</v>
      </c>
      <c r="R76" s="84">
        <f t="shared" si="4"/>
        <v>0</v>
      </c>
    </row>
    <row r="77" spans="1:18" s="37" customFormat="1" ht="18" customHeight="1" hidden="1">
      <c r="A77" s="53" t="s">
        <v>56</v>
      </c>
      <c r="B77" s="85">
        <f>Сводный!B68</f>
        <v>0</v>
      </c>
      <c r="C77" s="121">
        <f>Сводный!C68</f>
        <v>0</v>
      </c>
      <c r="D77" s="86">
        <f>Сводный!D68</f>
        <v>0</v>
      </c>
      <c r="E77" s="85">
        <f>Сводный!E68</f>
        <v>0</v>
      </c>
      <c r="F77" s="141">
        <f>Сводный!F68</f>
        <v>0</v>
      </c>
      <c r="G77" s="86">
        <f>Сводный!G68</f>
        <v>0</v>
      </c>
      <c r="H77" s="85">
        <f>Сводный!H68</f>
        <v>0</v>
      </c>
      <c r="I77" s="141">
        <f>Сводный!I68</f>
        <v>0</v>
      </c>
      <c r="J77" s="86">
        <f>Сводный!J68</f>
        <v>0</v>
      </c>
      <c r="K77" s="85">
        <f>Сводный!K68</f>
        <v>0</v>
      </c>
      <c r="L77" s="121">
        <f>Сводный!L68</f>
        <v>0</v>
      </c>
      <c r="M77" s="86">
        <f>Сводный!M68</f>
        <v>0</v>
      </c>
      <c r="N77" s="83">
        <f>Сводный!N68</f>
        <v>0</v>
      </c>
      <c r="O77" s="121">
        <f>Сводный!O68</f>
        <v>0</v>
      </c>
      <c r="P77" s="82">
        <f>Сводный!P68</f>
        <v>0</v>
      </c>
      <c r="Q77" s="84">
        <f t="shared" si="3"/>
        <v>0</v>
      </c>
      <c r="R77" s="84">
        <f t="shared" si="4"/>
        <v>0</v>
      </c>
    </row>
    <row r="78" spans="1:18" s="37" customFormat="1" ht="18" customHeight="1" hidden="1">
      <c r="A78" s="53" t="s">
        <v>57</v>
      </c>
      <c r="B78" s="85">
        <f>Сводный!B69</f>
        <v>0</v>
      </c>
      <c r="C78" s="121">
        <f>Сводный!C69</f>
        <v>0</v>
      </c>
      <c r="D78" s="86">
        <f>Сводный!D69</f>
        <v>0</v>
      </c>
      <c r="E78" s="85">
        <f>Сводный!E69</f>
        <v>0</v>
      </c>
      <c r="F78" s="141">
        <f>Сводный!F69</f>
        <v>0</v>
      </c>
      <c r="G78" s="86">
        <f>Сводный!G69</f>
        <v>0</v>
      </c>
      <c r="H78" s="85">
        <f>Сводный!H69</f>
        <v>0</v>
      </c>
      <c r="I78" s="141">
        <f>Сводный!I69</f>
        <v>0</v>
      </c>
      <c r="J78" s="86">
        <f>Сводный!J69</f>
        <v>0</v>
      </c>
      <c r="K78" s="85">
        <f>Сводный!K69</f>
        <v>0</v>
      </c>
      <c r="L78" s="121">
        <f>Сводный!L69</f>
        <v>0</v>
      </c>
      <c r="M78" s="86">
        <f>Сводный!M69</f>
        <v>0</v>
      </c>
      <c r="N78" s="83">
        <f>Сводный!N69</f>
        <v>0</v>
      </c>
      <c r="O78" s="121">
        <f>Сводный!O69</f>
        <v>0</v>
      </c>
      <c r="P78" s="82">
        <f>Сводный!P69</f>
        <v>0</v>
      </c>
      <c r="Q78" s="84">
        <f t="shared" si="3"/>
        <v>0</v>
      </c>
      <c r="R78" s="84">
        <f t="shared" si="4"/>
        <v>0</v>
      </c>
    </row>
    <row r="79" spans="1:18" s="37" customFormat="1" ht="18" customHeight="1" hidden="1">
      <c r="A79" s="53" t="s">
        <v>47</v>
      </c>
      <c r="B79" s="85">
        <f>Сводный!B70</f>
        <v>0</v>
      </c>
      <c r="C79" s="121">
        <f>Сводный!C70</f>
        <v>0</v>
      </c>
      <c r="D79" s="86">
        <f>Сводный!D70</f>
        <v>0</v>
      </c>
      <c r="E79" s="85">
        <f>Сводный!E70</f>
        <v>0</v>
      </c>
      <c r="F79" s="141">
        <f>Сводный!F70</f>
        <v>0</v>
      </c>
      <c r="G79" s="86">
        <f>Сводный!G70</f>
        <v>0</v>
      </c>
      <c r="H79" s="85">
        <f>Сводный!H70</f>
        <v>0</v>
      </c>
      <c r="I79" s="141">
        <f>Сводный!I70</f>
        <v>0</v>
      </c>
      <c r="J79" s="86">
        <f>Сводный!J70</f>
        <v>0</v>
      </c>
      <c r="K79" s="85">
        <f>Сводный!K70</f>
        <v>0</v>
      </c>
      <c r="L79" s="121">
        <f>Сводный!L70</f>
        <v>0</v>
      </c>
      <c r="M79" s="86">
        <f>Сводный!M70</f>
        <v>0</v>
      </c>
      <c r="N79" s="83">
        <f>Сводный!N70</f>
        <v>0</v>
      </c>
      <c r="O79" s="121">
        <f>Сводный!O70</f>
        <v>0</v>
      </c>
      <c r="P79" s="82">
        <f>Сводный!P70</f>
        <v>0</v>
      </c>
      <c r="Q79" s="84">
        <f t="shared" si="3"/>
        <v>0</v>
      </c>
      <c r="R79" s="84">
        <f t="shared" si="4"/>
        <v>0</v>
      </c>
    </row>
    <row r="80" spans="1:18" s="37" customFormat="1" ht="18" customHeight="1" hidden="1" thickBot="1">
      <c r="A80" s="143" t="s">
        <v>70</v>
      </c>
      <c r="B80" s="144">
        <f>Сводный!B71</f>
        <v>0</v>
      </c>
      <c r="C80" s="145">
        <f>Сводный!C71</f>
        <v>0</v>
      </c>
      <c r="D80" s="146">
        <f>Сводный!D71</f>
        <v>0</v>
      </c>
      <c r="E80" s="144">
        <f>Сводный!E71</f>
        <v>0</v>
      </c>
      <c r="F80" s="147">
        <f>Сводный!F71</f>
        <v>0</v>
      </c>
      <c r="G80" s="146">
        <f>Сводный!G71</f>
        <v>0</v>
      </c>
      <c r="H80" s="144">
        <f>Сводный!H71</f>
        <v>0</v>
      </c>
      <c r="I80" s="147">
        <f>Сводный!I71</f>
        <v>0</v>
      </c>
      <c r="J80" s="146">
        <f>Сводный!J71</f>
        <v>0</v>
      </c>
      <c r="K80" s="144">
        <f>Сводный!K71</f>
        <v>0</v>
      </c>
      <c r="L80" s="145">
        <f>Сводный!L71</f>
        <v>0</v>
      </c>
      <c r="M80" s="146">
        <f>Сводный!M71</f>
        <v>0</v>
      </c>
      <c r="N80" s="148">
        <f>Сводный!N71</f>
        <v>0</v>
      </c>
      <c r="O80" s="145">
        <f>Сводный!O71</f>
        <v>0</v>
      </c>
      <c r="P80" s="149">
        <f>Сводный!P71</f>
        <v>0</v>
      </c>
      <c r="Q80" s="150">
        <f t="shared" si="3"/>
        <v>0</v>
      </c>
      <c r="R80" s="150">
        <f>D80+G80+J80+M80+P80</f>
        <v>0</v>
      </c>
    </row>
    <row r="81" spans="1:18" s="36" customFormat="1" ht="15.75" hidden="1" thickBot="1">
      <c r="A81" s="38" t="s">
        <v>99</v>
      </c>
      <c r="B81" s="151">
        <f aca="true" t="shared" si="5" ref="B81:R81">SUM(B26:B80)</f>
        <v>0</v>
      </c>
      <c r="C81" s="152">
        <f t="shared" si="5"/>
        <v>0</v>
      </c>
      <c r="D81" s="152">
        <f t="shared" si="5"/>
        <v>0</v>
      </c>
      <c r="E81" s="89">
        <f t="shared" si="5"/>
        <v>0</v>
      </c>
      <c r="F81" s="98">
        <f t="shared" si="5"/>
        <v>0</v>
      </c>
      <c r="G81" s="90">
        <f t="shared" si="5"/>
        <v>0</v>
      </c>
      <c r="H81" s="151">
        <f t="shared" si="5"/>
        <v>0</v>
      </c>
      <c r="I81" s="152">
        <f t="shared" si="5"/>
        <v>0</v>
      </c>
      <c r="J81" s="90">
        <f t="shared" si="5"/>
        <v>0</v>
      </c>
      <c r="K81" s="151">
        <f t="shared" si="5"/>
        <v>0</v>
      </c>
      <c r="L81" s="152">
        <f t="shared" si="5"/>
        <v>0</v>
      </c>
      <c r="M81" s="90">
        <f t="shared" si="5"/>
        <v>0</v>
      </c>
      <c r="N81" s="151">
        <f t="shared" si="5"/>
        <v>0</v>
      </c>
      <c r="O81" s="152">
        <f t="shared" si="5"/>
        <v>0</v>
      </c>
      <c r="P81" s="90">
        <f t="shared" si="5"/>
        <v>0</v>
      </c>
      <c r="Q81" s="89">
        <f t="shared" si="5"/>
        <v>0</v>
      </c>
      <c r="R81" s="99">
        <f t="shared" si="5"/>
        <v>0</v>
      </c>
    </row>
    <row r="82" spans="1:13" ht="18" customHeight="1">
      <c r="A82" s="298" t="s">
        <v>191</v>
      </c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1:13" ht="8.25" customHeight="1" thickBo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7" ht="12.75" customHeight="1" thickBot="1">
      <c r="A84" s="321" t="s">
        <v>180</v>
      </c>
      <c r="B84" s="323" t="s">
        <v>101</v>
      </c>
      <c r="C84" s="324"/>
      <c r="D84" s="324"/>
      <c r="E84" s="324"/>
      <c r="F84" s="324"/>
      <c r="G84" s="325"/>
      <c r="H84" s="286" t="s">
        <v>190</v>
      </c>
      <c r="I84" s="287"/>
      <c r="J84" s="287"/>
      <c r="K84" s="288"/>
      <c r="L84" s="286" t="s">
        <v>188</v>
      </c>
      <c r="M84" s="287"/>
      <c r="N84" s="288"/>
      <c r="O84" s="286" t="s">
        <v>189</v>
      </c>
      <c r="P84" s="288"/>
      <c r="Q84" s="299" t="s">
        <v>91</v>
      </c>
    </row>
    <row r="85" spans="1:17" ht="36.75" customHeight="1" thickBot="1">
      <c r="A85" s="322"/>
      <c r="B85" s="190" t="s">
        <v>93</v>
      </c>
      <c r="C85" s="191" t="s">
        <v>135</v>
      </c>
      <c r="D85" s="192" t="s">
        <v>94</v>
      </c>
      <c r="E85" s="190" t="s">
        <v>187</v>
      </c>
      <c r="F85" s="191" t="s">
        <v>135</v>
      </c>
      <c r="G85" s="193" t="s">
        <v>94</v>
      </c>
      <c r="H85" s="289"/>
      <c r="I85" s="290"/>
      <c r="J85" s="290"/>
      <c r="K85" s="291"/>
      <c r="L85" s="289"/>
      <c r="M85" s="290"/>
      <c r="N85" s="291"/>
      <c r="O85" s="289"/>
      <c r="P85" s="291"/>
      <c r="Q85" s="300"/>
    </row>
    <row r="86" spans="1:17" ht="12.75" hidden="1">
      <c r="A86" s="188" t="s">
        <v>141</v>
      </c>
      <c r="B86" s="194">
        <f>Сводный!B76</f>
        <v>0</v>
      </c>
      <c r="C86" s="195">
        <f>Сводный!C76</f>
        <v>0</v>
      </c>
      <c r="D86" s="196">
        <f>Сводный!D76</f>
        <v>0</v>
      </c>
      <c r="E86" s="194">
        <f>Сводный!E76</f>
        <v>0</v>
      </c>
      <c r="F86" s="195">
        <f>Сводный!F76</f>
        <v>0</v>
      </c>
      <c r="G86" s="197">
        <f>Сводный!G76</f>
        <v>0</v>
      </c>
      <c r="H86" s="292">
        <f>Сводный!I76</f>
        <v>0</v>
      </c>
      <c r="I86" s="293"/>
      <c r="J86" s="293"/>
      <c r="K86" s="294"/>
      <c r="L86" s="295">
        <f>Сводный!J76</f>
        <v>0</v>
      </c>
      <c r="M86" s="296"/>
      <c r="N86" s="297"/>
      <c r="O86" s="295">
        <f>Сводный!K76</f>
        <v>0</v>
      </c>
      <c r="P86" s="297"/>
      <c r="Q86" s="198">
        <f>Сводный!H76</f>
        <v>0</v>
      </c>
    </row>
    <row r="87" spans="1:17" ht="12.75" hidden="1">
      <c r="A87" s="189" t="s">
        <v>142</v>
      </c>
      <c r="B87" s="199">
        <f>Сводный!B77</f>
        <v>0</v>
      </c>
      <c r="C87" s="200">
        <f>Сводный!C77</f>
        <v>0</v>
      </c>
      <c r="D87" s="201">
        <f>Сводный!D77</f>
        <v>0</v>
      </c>
      <c r="E87" s="199">
        <f>Сводный!E77</f>
        <v>0</v>
      </c>
      <c r="F87" s="200">
        <f>Сводный!F77</f>
        <v>0</v>
      </c>
      <c r="G87" s="202">
        <f>Сводный!G77</f>
        <v>0</v>
      </c>
      <c r="H87" s="276">
        <f>Сводный!I77</f>
        <v>0</v>
      </c>
      <c r="I87" s="277"/>
      <c r="J87" s="277"/>
      <c r="K87" s="278"/>
      <c r="L87" s="283">
        <f>Сводный!J77</f>
        <v>0</v>
      </c>
      <c r="M87" s="284"/>
      <c r="N87" s="285"/>
      <c r="O87" s="283">
        <f>Сводный!K77</f>
        <v>0</v>
      </c>
      <c r="P87" s="285"/>
      <c r="Q87" s="203">
        <f>Сводный!H77</f>
        <v>0</v>
      </c>
    </row>
    <row r="88" spans="1:17" ht="12.75" hidden="1">
      <c r="A88" s="189" t="s">
        <v>181</v>
      </c>
      <c r="B88" s="199">
        <f>Сводный!B78</f>
        <v>0</v>
      </c>
      <c r="C88" s="200">
        <f>Сводный!C78</f>
        <v>0</v>
      </c>
      <c r="D88" s="201">
        <f>Сводный!D78</f>
        <v>0</v>
      </c>
      <c r="E88" s="199">
        <f>Сводный!E78</f>
        <v>0</v>
      </c>
      <c r="F88" s="200">
        <f>Сводный!F78</f>
        <v>0</v>
      </c>
      <c r="G88" s="202">
        <f>Сводный!G78</f>
        <v>0</v>
      </c>
      <c r="H88" s="276">
        <f>Сводный!I78</f>
        <v>0</v>
      </c>
      <c r="I88" s="277"/>
      <c r="J88" s="277"/>
      <c r="K88" s="278"/>
      <c r="L88" s="283">
        <f>Сводный!J78</f>
        <v>0</v>
      </c>
      <c r="M88" s="284"/>
      <c r="N88" s="285"/>
      <c r="O88" s="283">
        <f>Сводный!K78</f>
        <v>0</v>
      </c>
      <c r="P88" s="285"/>
      <c r="Q88" s="203">
        <f>Сводный!H78</f>
        <v>0</v>
      </c>
    </row>
    <row r="89" spans="1:17" ht="12.75" hidden="1">
      <c r="A89" s="189" t="s">
        <v>143</v>
      </c>
      <c r="B89" s="199">
        <f>Сводный!B79</f>
        <v>0</v>
      </c>
      <c r="C89" s="200">
        <f>Сводный!C79</f>
        <v>0</v>
      </c>
      <c r="D89" s="201">
        <f>Сводный!D79</f>
        <v>0</v>
      </c>
      <c r="E89" s="199">
        <f>Сводный!E79</f>
        <v>0</v>
      </c>
      <c r="F89" s="200">
        <f>Сводный!F79</f>
        <v>0</v>
      </c>
      <c r="G89" s="202">
        <f>Сводный!G79</f>
        <v>0</v>
      </c>
      <c r="H89" s="276">
        <f>Сводный!I79</f>
        <v>0</v>
      </c>
      <c r="I89" s="277"/>
      <c r="J89" s="277"/>
      <c r="K89" s="278"/>
      <c r="L89" s="283">
        <f>Сводный!J79</f>
        <v>0</v>
      </c>
      <c r="M89" s="284"/>
      <c r="N89" s="285"/>
      <c r="O89" s="283">
        <f>Сводный!K79</f>
        <v>0</v>
      </c>
      <c r="P89" s="285"/>
      <c r="Q89" s="203">
        <f>Сводный!H79</f>
        <v>0</v>
      </c>
    </row>
    <row r="90" spans="1:17" ht="12.75" hidden="1">
      <c r="A90" s="189" t="s">
        <v>156</v>
      </c>
      <c r="B90" s="199">
        <f>Сводный!B80</f>
        <v>0</v>
      </c>
      <c r="C90" s="200">
        <f>Сводный!C80</f>
        <v>0</v>
      </c>
      <c r="D90" s="201">
        <f>Сводный!D80</f>
        <v>0</v>
      </c>
      <c r="E90" s="199">
        <f>Сводный!E80</f>
        <v>0</v>
      </c>
      <c r="F90" s="200">
        <f>Сводный!F80</f>
        <v>0</v>
      </c>
      <c r="G90" s="202">
        <f>Сводный!G80</f>
        <v>0</v>
      </c>
      <c r="H90" s="276">
        <f>Сводный!I80</f>
        <v>0</v>
      </c>
      <c r="I90" s="277"/>
      <c r="J90" s="277"/>
      <c r="K90" s="278"/>
      <c r="L90" s="283">
        <f>Сводный!J80</f>
        <v>0</v>
      </c>
      <c r="M90" s="284"/>
      <c r="N90" s="285"/>
      <c r="O90" s="283">
        <f>Сводный!K80</f>
        <v>0</v>
      </c>
      <c r="P90" s="285"/>
      <c r="Q90" s="203">
        <f>Сводный!H80</f>
        <v>0</v>
      </c>
    </row>
    <row r="91" spans="1:17" ht="12.75" hidden="1">
      <c r="A91" s="189" t="s">
        <v>157</v>
      </c>
      <c r="B91" s="199">
        <f>Сводный!B81</f>
        <v>0</v>
      </c>
      <c r="C91" s="200">
        <f>Сводный!C81</f>
        <v>0</v>
      </c>
      <c r="D91" s="201">
        <f>Сводный!D81</f>
        <v>0</v>
      </c>
      <c r="E91" s="199">
        <f>Сводный!E81</f>
        <v>0</v>
      </c>
      <c r="F91" s="200">
        <f>Сводный!F81</f>
        <v>0</v>
      </c>
      <c r="G91" s="202">
        <f>Сводный!G81</f>
        <v>0</v>
      </c>
      <c r="H91" s="276">
        <f>Сводный!I81</f>
        <v>0</v>
      </c>
      <c r="I91" s="277"/>
      <c r="J91" s="277"/>
      <c r="K91" s="278"/>
      <c r="L91" s="283">
        <f>Сводный!J81</f>
        <v>0</v>
      </c>
      <c r="M91" s="284"/>
      <c r="N91" s="285"/>
      <c r="O91" s="283">
        <f>Сводный!K81</f>
        <v>0</v>
      </c>
      <c r="P91" s="285"/>
      <c r="Q91" s="203">
        <f>Сводный!H81</f>
        <v>0</v>
      </c>
    </row>
    <row r="92" spans="1:17" ht="12.75" hidden="1">
      <c r="A92" s="189" t="s">
        <v>145</v>
      </c>
      <c r="B92" s="199">
        <f>Сводный!B82</f>
        <v>0</v>
      </c>
      <c r="C92" s="200">
        <f>Сводный!C82</f>
        <v>0</v>
      </c>
      <c r="D92" s="201">
        <f>Сводный!D82</f>
        <v>0</v>
      </c>
      <c r="E92" s="199">
        <f>Сводный!E82</f>
        <v>0</v>
      </c>
      <c r="F92" s="200">
        <f>Сводный!F82</f>
        <v>0</v>
      </c>
      <c r="G92" s="202">
        <f>Сводный!G82</f>
        <v>0</v>
      </c>
      <c r="H92" s="276">
        <f>Сводный!I82</f>
        <v>0</v>
      </c>
      <c r="I92" s="277"/>
      <c r="J92" s="277"/>
      <c r="K92" s="278"/>
      <c r="L92" s="283">
        <f>Сводный!J82</f>
        <v>0</v>
      </c>
      <c r="M92" s="284"/>
      <c r="N92" s="285"/>
      <c r="O92" s="283">
        <f>Сводный!K82</f>
        <v>0</v>
      </c>
      <c r="P92" s="285"/>
      <c r="Q92" s="203">
        <f>Сводный!H82</f>
        <v>0</v>
      </c>
    </row>
    <row r="93" spans="1:17" ht="12.75" hidden="1">
      <c r="A93" s="189" t="s">
        <v>184</v>
      </c>
      <c r="B93" s="199">
        <f>Сводный!B83</f>
        <v>0</v>
      </c>
      <c r="C93" s="200">
        <f>Сводный!C83</f>
        <v>0</v>
      </c>
      <c r="D93" s="201">
        <f>Сводный!D83</f>
        <v>0</v>
      </c>
      <c r="E93" s="199">
        <f>Сводный!E83</f>
        <v>0</v>
      </c>
      <c r="F93" s="200">
        <f>Сводный!F83</f>
        <v>0</v>
      </c>
      <c r="G93" s="202">
        <f>Сводный!G83</f>
        <v>0</v>
      </c>
      <c r="H93" s="276">
        <f>Сводный!I83</f>
        <v>0</v>
      </c>
      <c r="I93" s="277"/>
      <c r="J93" s="277"/>
      <c r="K93" s="278"/>
      <c r="L93" s="283">
        <f>Сводный!J83</f>
        <v>0</v>
      </c>
      <c r="M93" s="284"/>
      <c r="N93" s="285"/>
      <c r="O93" s="283">
        <f>Сводный!K83</f>
        <v>0</v>
      </c>
      <c r="P93" s="285"/>
      <c r="Q93" s="203">
        <f>Сводный!H83</f>
        <v>0</v>
      </c>
    </row>
    <row r="94" spans="1:17" ht="12.75" hidden="1">
      <c r="A94" s="189" t="s">
        <v>158</v>
      </c>
      <c r="B94" s="199">
        <f>Сводный!B84</f>
        <v>0</v>
      </c>
      <c r="C94" s="200">
        <f>Сводный!C84</f>
        <v>0</v>
      </c>
      <c r="D94" s="201">
        <f>Сводный!D84</f>
        <v>0</v>
      </c>
      <c r="E94" s="199">
        <f>Сводный!E84</f>
        <v>0</v>
      </c>
      <c r="F94" s="200">
        <f>Сводный!F84</f>
        <v>0</v>
      </c>
      <c r="G94" s="202">
        <f>Сводный!G84</f>
        <v>0</v>
      </c>
      <c r="H94" s="276">
        <f>Сводный!I84</f>
        <v>0</v>
      </c>
      <c r="I94" s="277"/>
      <c r="J94" s="277"/>
      <c r="K94" s="278"/>
      <c r="L94" s="283">
        <f>Сводный!J84</f>
        <v>0</v>
      </c>
      <c r="M94" s="284"/>
      <c r="N94" s="285"/>
      <c r="O94" s="283">
        <f>Сводный!K84</f>
        <v>0</v>
      </c>
      <c r="P94" s="285"/>
      <c r="Q94" s="203">
        <f>Сводный!H84</f>
        <v>0</v>
      </c>
    </row>
    <row r="95" spans="1:17" ht="12.75" hidden="1">
      <c r="A95" s="189" t="s">
        <v>146</v>
      </c>
      <c r="B95" s="199">
        <f>Сводный!B85</f>
        <v>0</v>
      </c>
      <c r="C95" s="200">
        <f>Сводный!C85</f>
        <v>0</v>
      </c>
      <c r="D95" s="201">
        <f>Сводный!D85</f>
        <v>0</v>
      </c>
      <c r="E95" s="199">
        <f>Сводный!E85</f>
        <v>0</v>
      </c>
      <c r="F95" s="200">
        <f>Сводный!F85</f>
        <v>0</v>
      </c>
      <c r="G95" s="202">
        <f>Сводный!G85</f>
        <v>0</v>
      </c>
      <c r="H95" s="276">
        <f>Сводный!I85</f>
        <v>0</v>
      </c>
      <c r="I95" s="277"/>
      <c r="J95" s="277"/>
      <c r="K95" s="278"/>
      <c r="L95" s="283">
        <f>Сводный!J85</f>
        <v>0</v>
      </c>
      <c r="M95" s="284"/>
      <c r="N95" s="285"/>
      <c r="O95" s="283">
        <f>Сводный!K85</f>
        <v>0</v>
      </c>
      <c r="P95" s="285"/>
      <c r="Q95" s="203">
        <f>Сводный!H85</f>
        <v>0</v>
      </c>
    </row>
    <row r="96" spans="1:17" ht="12.75" hidden="1">
      <c r="A96" s="189" t="s">
        <v>159</v>
      </c>
      <c r="B96" s="199">
        <f>Сводный!B86</f>
        <v>0</v>
      </c>
      <c r="C96" s="200">
        <f>Сводный!C86</f>
        <v>0</v>
      </c>
      <c r="D96" s="201">
        <f>Сводный!D86</f>
        <v>0</v>
      </c>
      <c r="E96" s="199">
        <f>Сводный!E86</f>
        <v>0</v>
      </c>
      <c r="F96" s="200">
        <f>Сводный!F86</f>
        <v>0</v>
      </c>
      <c r="G96" s="202">
        <f>Сводный!G86</f>
        <v>0</v>
      </c>
      <c r="H96" s="276">
        <f>Сводный!I86</f>
        <v>0</v>
      </c>
      <c r="I96" s="277"/>
      <c r="J96" s="277"/>
      <c r="K96" s="278"/>
      <c r="L96" s="283">
        <f>Сводный!J86</f>
        <v>0</v>
      </c>
      <c r="M96" s="284"/>
      <c r="N96" s="285"/>
      <c r="O96" s="283">
        <f>Сводный!K86</f>
        <v>0</v>
      </c>
      <c r="P96" s="285"/>
      <c r="Q96" s="203">
        <f>Сводный!H86</f>
        <v>0</v>
      </c>
    </row>
    <row r="97" spans="1:17" ht="12.75" hidden="1">
      <c r="A97" s="189" t="s">
        <v>147</v>
      </c>
      <c r="B97" s="199">
        <f>Сводный!B87</f>
        <v>0</v>
      </c>
      <c r="C97" s="200">
        <f>Сводный!C87</f>
        <v>0</v>
      </c>
      <c r="D97" s="201">
        <f>Сводный!D87</f>
        <v>0</v>
      </c>
      <c r="E97" s="199">
        <f>Сводный!E87</f>
        <v>0</v>
      </c>
      <c r="F97" s="200">
        <f>Сводный!F87</f>
        <v>0</v>
      </c>
      <c r="G97" s="202">
        <f>Сводный!G87</f>
        <v>0</v>
      </c>
      <c r="H97" s="276">
        <f>Сводный!I87</f>
        <v>0</v>
      </c>
      <c r="I97" s="277"/>
      <c r="J97" s="277"/>
      <c r="K97" s="278"/>
      <c r="L97" s="283">
        <f>Сводный!J87</f>
        <v>0</v>
      </c>
      <c r="M97" s="284"/>
      <c r="N97" s="285"/>
      <c r="O97" s="283">
        <f>Сводный!K87</f>
        <v>0</v>
      </c>
      <c r="P97" s="285"/>
      <c r="Q97" s="203">
        <f>Сводный!H87</f>
        <v>0</v>
      </c>
    </row>
    <row r="98" spans="1:17" ht="12.75" hidden="1">
      <c r="A98" s="189" t="s">
        <v>144</v>
      </c>
      <c r="B98" s="199">
        <f>Сводный!B88</f>
        <v>0</v>
      </c>
      <c r="C98" s="200">
        <f>Сводный!C88</f>
        <v>0</v>
      </c>
      <c r="D98" s="201">
        <f>Сводный!D88</f>
        <v>0</v>
      </c>
      <c r="E98" s="199">
        <f>Сводный!E88</f>
        <v>0</v>
      </c>
      <c r="F98" s="200">
        <f>Сводный!F88</f>
        <v>0</v>
      </c>
      <c r="G98" s="202">
        <f>Сводный!G88</f>
        <v>0</v>
      </c>
      <c r="H98" s="276">
        <f>Сводный!I88</f>
        <v>0</v>
      </c>
      <c r="I98" s="277"/>
      <c r="J98" s="277"/>
      <c r="K98" s="278"/>
      <c r="L98" s="283">
        <f>Сводный!J88</f>
        <v>0</v>
      </c>
      <c r="M98" s="284"/>
      <c r="N98" s="285"/>
      <c r="O98" s="283">
        <f>Сводный!K88</f>
        <v>0</v>
      </c>
      <c r="P98" s="285"/>
      <c r="Q98" s="203">
        <f>Сводный!H88</f>
        <v>0</v>
      </c>
    </row>
    <row r="99" spans="1:17" ht="12.75" hidden="1">
      <c r="A99" s="189" t="s">
        <v>182</v>
      </c>
      <c r="B99" s="199">
        <f>Сводный!B89</f>
        <v>0</v>
      </c>
      <c r="C99" s="200">
        <f>Сводный!C89</f>
        <v>0</v>
      </c>
      <c r="D99" s="201">
        <f>Сводный!D89</f>
        <v>0</v>
      </c>
      <c r="E99" s="199">
        <f>Сводный!E89</f>
        <v>0</v>
      </c>
      <c r="F99" s="200">
        <f>Сводный!F89</f>
        <v>0</v>
      </c>
      <c r="G99" s="202">
        <f>Сводный!G89</f>
        <v>0</v>
      </c>
      <c r="H99" s="276">
        <f>Сводный!I89</f>
        <v>0</v>
      </c>
      <c r="I99" s="277"/>
      <c r="J99" s="277"/>
      <c r="K99" s="278"/>
      <c r="L99" s="283">
        <f>Сводный!J89</f>
        <v>0</v>
      </c>
      <c r="M99" s="284"/>
      <c r="N99" s="285"/>
      <c r="O99" s="283">
        <f>Сводный!K89</f>
        <v>0</v>
      </c>
      <c r="P99" s="285"/>
      <c r="Q99" s="203">
        <f>Сводный!H89</f>
        <v>0</v>
      </c>
    </row>
    <row r="100" spans="1:17" ht="12.75" hidden="1">
      <c r="A100" s="189" t="s">
        <v>160</v>
      </c>
      <c r="B100" s="199">
        <f>Сводный!B90</f>
        <v>0</v>
      </c>
      <c r="C100" s="200">
        <f>Сводный!C90</f>
        <v>0</v>
      </c>
      <c r="D100" s="201">
        <f>Сводный!D90</f>
        <v>0</v>
      </c>
      <c r="E100" s="199">
        <f>Сводный!E90</f>
        <v>0</v>
      </c>
      <c r="F100" s="200">
        <f>Сводный!F90</f>
        <v>0</v>
      </c>
      <c r="G100" s="202">
        <f>Сводный!G90</f>
        <v>0</v>
      </c>
      <c r="H100" s="276">
        <f>Сводный!I90</f>
        <v>0</v>
      </c>
      <c r="I100" s="277"/>
      <c r="J100" s="277"/>
      <c r="K100" s="278"/>
      <c r="L100" s="283">
        <f>Сводный!J90</f>
        <v>0</v>
      </c>
      <c r="M100" s="284"/>
      <c r="N100" s="285"/>
      <c r="O100" s="283">
        <f>Сводный!K90</f>
        <v>0</v>
      </c>
      <c r="P100" s="285"/>
      <c r="Q100" s="203">
        <f>Сводный!H90</f>
        <v>0</v>
      </c>
    </row>
    <row r="101" spans="1:17" ht="12.75" hidden="1">
      <c r="A101" s="189" t="s">
        <v>148</v>
      </c>
      <c r="B101" s="199">
        <f>Сводный!B91</f>
        <v>0</v>
      </c>
      <c r="C101" s="200">
        <f>Сводный!C91</f>
        <v>0</v>
      </c>
      <c r="D101" s="201">
        <f>Сводный!D91</f>
        <v>0</v>
      </c>
      <c r="E101" s="199">
        <f>Сводный!E91</f>
        <v>0</v>
      </c>
      <c r="F101" s="200">
        <f>Сводный!F91</f>
        <v>0</v>
      </c>
      <c r="G101" s="202">
        <f>Сводный!G91</f>
        <v>0</v>
      </c>
      <c r="H101" s="276">
        <f>Сводный!I91</f>
        <v>0</v>
      </c>
      <c r="I101" s="277"/>
      <c r="J101" s="277"/>
      <c r="K101" s="278"/>
      <c r="L101" s="283">
        <f>Сводный!J91</f>
        <v>0</v>
      </c>
      <c r="M101" s="284"/>
      <c r="N101" s="285"/>
      <c r="O101" s="283">
        <f>Сводный!K91</f>
        <v>0</v>
      </c>
      <c r="P101" s="285"/>
      <c r="Q101" s="203">
        <f>Сводный!H91</f>
        <v>0</v>
      </c>
    </row>
    <row r="102" spans="1:17" ht="12.75" hidden="1">
      <c r="A102" s="189" t="s">
        <v>155</v>
      </c>
      <c r="B102" s="199">
        <f>Сводный!B92</f>
        <v>0</v>
      </c>
      <c r="C102" s="200">
        <f>Сводный!C92</f>
        <v>0</v>
      </c>
      <c r="D102" s="201">
        <f>Сводный!D92</f>
        <v>0</v>
      </c>
      <c r="E102" s="199">
        <f>Сводный!E92</f>
        <v>0</v>
      </c>
      <c r="F102" s="200">
        <f>Сводный!F92</f>
        <v>0</v>
      </c>
      <c r="G102" s="202">
        <f>Сводный!G92</f>
        <v>0</v>
      </c>
      <c r="H102" s="276">
        <f>Сводный!I92</f>
        <v>0</v>
      </c>
      <c r="I102" s="277"/>
      <c r="J102" s="277"/>
      <c r="K102" s="278"/>
      <c r="L102" s="283">
        <f>Сводный!J92</f>
        <v>0</v>
      </c>
      <c r="M102" s="284"/>
      <c r="N102" s="285"/>
      <c r="O102" s="283">
        <f>Сводный!K92</f>
        <v>0</v>
      </c>
      <c r="P102" s="285"/>
      <c r="Q102" s="203">
        <f>Сводный!H92</f>
        <v>0</v>
      </c>
    </row>
    <row r="103" spans="1:17" ht="12.75" hidden="1">
      <c r="A103" s="189" t="s">
        <v>185</v>
      </c>
      <c r="B103" s="199">
        <f>Сводный!B93</f>
        <v>0</v>
      </c>
      <c r="C103" s="200">
        <f>Сводный!C93</f>
        <v>0</v>
      </c>
      <c r="D103" s="201">
        <f>Сводный!D93</f>
        <v>0</v>
      </c>
      <c r="E103" s="199">
        <f>Сводный!E93</f>
        <v>0</v>
      </c>
      <c r="F103" s="200">
        <f>Сводный!F93</f>
        <v>0</v>
      </c>
      <c r="G103" s="202">
        <f>Сводный!G93</f>
        <v>0</v>
      </c>
      <c r="H103" s="276">
        <f>Сводный!I93</f>
        <v>0</v>
      </c>
      <c r="I103" s="277"/>
      <c r="J103" s="277"/>
      <c r="K103" s="278"/>
      <c r="L103" s="283">
        <f>Сводный!J93</f>
        <v>0</v>
      </c>
      <c r="M103" s="284"/>
      <c r="N103" s="285"/>
      <c r="O103" s="283">
        <f>Сводный!K93</f>
        <v>0</v>
      </c>
      <c r="P103" s="285"/>
      <c r="Q103" s="203">
        <f>Сводный!H93</f>
        <v>0</v>
      </c>
    </row>
    <row r="104" spans="1:17" ht="12.75" hidden="1">
      <c r="A104" s="189" t="s">
        <v>149</v>
      </c>
      <c r="B104" s="199">
        <f>Сводный!B94</f>
        <v>0</v>
      </c>
      <c r="C104" s="200">
        <f>Сводный!C94</f>
        <v>0</v>
      </c>
      <c r="D104" s="201">
        <f>Сводный!D94</f>
        <v>0</v>
      </c>
      <c r="E104" s="199">
        <f>Сводный!E94</f>
        <v>0</v>
      </c>
      <c r="F104" s="200">
        <f>Сводный!F94</f>
        <v>0</v>
      </c>
      <c r="G104" s="202">
        <f>Сводный!G94</f>
        <v>0</v>
      </c>
      <c r="H104" s="276">
        <f>Сводный!I94</f>
        <v>0</v>
      </c>
      <c r="I104" s="277"/>
      <c r="J104" s="277"/>
      <c r="K104" s="278"/>
      <c r="L104" s="283">
        <f>Сводный!J94</f>
        <v>0</v>
      </c>
      <c r="M104" s="284"/>
      <c r="N104" s="285"/>
      <c r="O104" s="283">
        <f>Сводный!K94</f>
        <v>0</v>
      </c>
      <c r="P104" s="285"/>
      <c r="Q104" s="203">
        <f>Сводный!H94</f>
        <v>0</v>
      </c>
    </row>
    <row r="105" spans="1:17" ht="12.75" hidden="1">
      <c r="A105" s="189" t="s">
        <v>150</v>
      </c>
      <c r="B105" s="199">
        <f>Сводный!B95</f>
        <v>0</v>
      </c>
      <c r="C105" s="200">
        <f>Сводный!C95</f>
        <v>0</v>
      </c>
      <c r="D105" s="201">
        <f>Сводный!D95</f>
        <v>0</v>
      </c>
      <c r="E105" s="199">
        <f>Сводный!E95</f>
        <v>0</v>
      </c>
      <c r="F105" s="200">
        <f>Сводный!F95</f>
        <v>0</v>
      </c>
      <c r="G105" s="202">
        <f>Сводный!G95</f>
        <v>0</v>
      </c>
      <c r="H105" s="276">
        <f>Сводный!I95</f>
        <v>0</v>
      </c>
      <c r="I105" s="277"/>
      <c r="J105" s="277"/>
      <c r="K105" s="278"/>
      <c r="L105" s="283">
        <f>Сводный!J95</f>
        <v>0</v>
      </c>
      <c r="M105" s="284"/>
      <c r="N105" s="285"/>
      <c r="O105" s="283">
        <f>Сводный!K95</f>
        <v>0</v>
      </c>
      <c r="P105" s="285"/>
      <c r="Q105" s="203">
        <f>Сводный!H95</f>
        <v>0</v>
      </c>
    </row>
    <row r="106" spans="1:17" ht="12.75" hidden="1">
      <c r="A106" s="189" t="s">
        <v>151</v>
      </c>
      <c r="B106" s="199">
        <f>Сводный!B96</f>
        <v>0</v>
      </c>
      <c r="C106" s="200">
        <f>Сводный!C96</f>
        <v>0</v>
      </c>
      <c r="D106" s="201">
        <f>Сводный!D96</f>
        <v>0</v>
      </c>
      <c r="E106" s="199">
        <f>Сводный!E96</f>
        <v>0</v>
      </c>
      <c r="F106" s="200">
        <f>Сводный!F96</f>
        <v>0</v>
      </c>
      <c r="G106" s="202">
        <f>Сводный!G96</f>
        <v>0</v>
      </c>
      <c r="H106" s="276">
        <f>Сводный!I96</f>
        <v>0</v>
      </c>
      <c r="I106" s="277"/>
      <c r="J106" s="277"/>
      <c r="K106" s="278"/>
      <c r="L106" s="283">
        <f>Сводный!J96</f>
        <v>0</v>
      </c>
      <c r="M106" s="284"/>
      <c r="N106" s="285"/>
      <c r="O106" s="283">
        <f>Сводный!K96</f>
        <v>0</v>
      </c>
      <c r="P106" s="285"/>
      <c r="Q106" s="203">
        <f>Сводный!H96</f>
        <v>0</v>
      </c>
    </row>
    <row r="107" spans="1:17" ht="12.75" hidden="1">
      <c r="A107" s="189" t="s">
        <v>161</v>
      </c>
      <c r="B107" s="199">
        <f>Сводный!B97</f>
        <v>0</v>
      </c>
      <c r="C107" s="200">
        <f>Сводный!C97</f>
        <v>0</v>
      </c>
      <c r="D107" s="201">
        <f>Сводный!D97</f>
        <v>0</v>
      </c>
      <c r="E107" s="199">
        <f>Сводный!E97</f>
        <v>0</v>
      </c>
      <c r="F107" s="200">
        <f>Сводный!F97</f>
        <v>0</v>
      </c>
      <c r="G107" s="202">
        <f>Сводный!G97</f>
        <v>0</v>
      </c>
      <c r="H107" s="276">
        <f>Сводный!I97</f>
        <v>0</v>
      </c>
      <c r="I107" s="277"/>
      <c r="J107" s="277"/>
      <c r="K107" s="278"/>
      <c r="L107" s="283">
        <f>Сводный!J97</f>
        <v>0</v>
      </c>
      <c r="M107" s="284"/>
      <c r="N107" s="285"/>
      <c r="O107" s="283">
        <f>Сводный!K97</f>
        <v>0</v>
      </c>
      <c r="P107" s="285"/>
      <c r="Q107" s="203">
        <f>Сводный!H97</f>
        <v>0</v>
      </c>
    </row>
    <row r="108" spans="1:17" ht="12.75" hidden="1">
      <c r="A108" s="189" t="s">
        <v>154</v>
      </c>
      <c r="B108" s="199">
        <f>Сводный!B98</f>
        <v>0</v>
      </c>
      <c r="C108" s="200">
        <f>Сводный!C98</f>
        <v>0</v>
      </c>
      <c r="D108" s="201">
        <f>Сводный!D98</f>
        <v>0</v>
      </c>
      <c r="E108" s="199">
        <f>Сводный!E98</f>
        <v>0</v>
      </c>
      <c r="F108" s="200">
        <f>Сводный!F98</f>
        <v>0</v>
      </c>
      <c r="G108" s="202">
        <f>Сводный!G98</f>
        <v>0</v>
      </c>
      <c r="H108" s="276">
        <f>Сводный!I98</f>
        <v>0</v>
      </c>
      <c r="I108" s="277"/>
      <c r="J108" s="277"/>
      <c r="K108" s="278"/>
      <c r="L108" s="283">
        <f>Сводный!J98</f>
        <v>0</v>
      </c>
      <c r="M108" s="284"/>
      <c r="N108" s="285"/>
      <c r="O108" s="283">
        <f>Сводный!K98</f>
        <v>0</v>
      </c>
      <c r="P108" s="285"/>
      <c r="Q108" s="203">
        <f>Сводный!H98</f>
        <v>0</v>
      </c>
    </row>
    <row r="109" spans="1:17" ht="12.75" hidden="1">
      <c r="A109" s="189" t="s">
        <v>152</v>
      </c>
      <c r="B109" s="199">
        <f>Сводный!B99</f>
        <v>0</v>
      </c>
      <c r="C109" s="200">
        <f>Сводный!C99</f>
        <v>0</v>
      </c>
      <c r="D109" s="201">
        <f>Сводный!D99</f>
        <v>0</v>
      </c>
      <c r="E109" s="199">
        <f>Сводный!E99</f>
        <v>0</v>
      </c>
      <c r="F109" s="200">
        <f>Сводный!F99</f>
        <v>0</v>
      </c>
      <c r="G109" s="202">
        <f>Сводный!G99</f>
        <v>0</v>
      </c>
      <c r="H109" s="276">
        <f>Сводный!I99</f>
        <v>0</v>
      </c>
      <c r="I109" s="277"/>
      <c r="J109" s="277"/>
      <c r="K109" s="278"/>
      <c r="L109" s="283">
        <f>Сводный!J99</f>
        <v>0</v>
      </c>
      <c r="M109" s="284"/>
      <c r="N109" s="285"/>
      <c r="O109" s="283">
        <f>Сводный!K99</f>
        <v>0</v>
      </c>
      <c r="P109" s="285"/>
      <c r="Q109" s="203">
        <f>Сводный!H99</f>
        <v>0</v>
      </c>
    </row>
    <row r="110" spans="1:17" ht="12.75" hidden="1">
      <c r="A110" s="189" t="s">
        <v>186</v>
      </c>
      <c r="B110" s="199">
        <f>Сводный!B100</f>
        <v>0</v>
      </c>
      <c r="C110" s="200">
        <f>Сводный!C100</f>
        <v>0</v>
      </c>
      <c r="D110" s="201">
        <f>Сводный!D100</f>
        <v>0</v>
      </c>
      <c r="E110" s="199">
        <f>Сводный!E100</f>
        <v>0</v>
      </c>
      <c r="F110" s="200">
        <f>Сводный!F100</f>
        <v>0</v>
      </c>
      <c r="G110" s="202">
        <f>Сводный!G100</f>
        <v>0</v>
      </c>
      <c r="H110" s="276">
        <f>Сводный!I100</f>
        <v>0</v>
      </c>
      <c r="I110" s="277"/>
      <c r="J110" s="277"/>
      <c r="K110" s="278"/>
      <c r="L110" s="283">
        <f>Сводный!J100</f>
        <v>0</v>
      </c>
      <c r="M110" s="284"/>
      <c r="N110" s="285"/>
      <c r="O110" s="283">
        <f>Сводный!K100</f>
        <v>0</v>
      </c>
      <c r="P110" s="285"/>
      <c r="Q110" s="203">
        <f>Сводный!H100</f>
        <v>0</v>
      </c>
    </row>
    <row r="111" spans="1:17" ht="12.75" hidden="1">
      <c r="A111" s="189" t="s">
        <v>183</v>
      </c>
      <c r="B111" s="199">
        <f>Сводный!B101</f>
        <v>0</v>
      </c>
      <c r="C111" s="200">
        <f>Сводный!C101</f>
        <v>0</v>
      </c>
      <c r="D111" s="201">
        <f>Сводный!D101</f>
        <v>0</v>
      </c>
      <c r="E111" s="199">
        <f>Сводный!E101</f>
        <v>0</v>
      </c>
      <c r="F111" s="200">
        <f>Сводный!F101</f>
        <v>0</v>
      </c>
      <c r="G111" s="202">
        <f>Сводный!G101</f>
        <v>0</v>
      </c>
      <c r="H111" s="276">
        <f>Сводный!I101</f>
        <v>0</v>
      </c>
      <c r="I111" s="277"/>
      <c r="J111" s="277"/>
      <c r="K111" s="278"/>
      <c r="L111" s="283">
        <f>Сводный!J101</f>
        <v>0</v>
      </c>
      <c r="M111" s="284"/>
      <c r="N111" s="285"/>
      <c r="O111" s="283">
        <f>Сводный!K101</f>
        <v>0</v>
      </c>
      <c r="P111" s="285"/>
      <c r="Q111" s="203">
        <f>Сводный!H101</f>
        <v>0</v>
      </c>
    </row>
    <row r="112" spans="1:17" ht="12.75" hidden="1">
      <c r="A112" s="189" t="s">
        <v>162</v>
      </c>
      <c r="B112" s="199">
        <f>Сводный!B102</f>
        <v>0</v>
      </c>
      <c r="C112" s="200">
        <f>Сводный!C102</f>
        <v>0</v>
      </c>
      <c r="D112" s="201">
        <f>Сводный!D102</f>
        <v>0</v>
      </c>
      <c r="E112" s="199">
        <f>Сводный!E102</f>
        <v>0</v>
      </c>
      <c r="F112" s="200">
        <f>Сводный!F102</f>
        <v>0</v>
      </c>
      <c r="G112" s="202">
        <f>Сводный!G102</f>
        <v>0</v>
      </c>
      <c r="H112" s="276">
        <f>Сводный!I102</f>
        <v>0</v>
      </c>
      <c r="I112" s="277"/>
      <c r="J112" s="277"/>
      <c r="K112" s="278"/>
      <c r="L112" s="283">
        <f>Сводный!J102</f>
        <v>0</v>
      </c>
      <c r="M112" s="284"/>
      <c r="N112" s="285"/>
      <c r="O112" s="283">
        <f>Сводный!K102</f>
        <v>0</v>
      </c>
      <c r="P112" s="285"/>
      <c r="Q112" s="203">
        <f>Сводный!H102</f>
        <v>0</v>
      </c>
    </row>
    <row r="113" spans="1:17" ht="12.75" hidden="1">
      <c r="A113" s="189" t="s">
        <v>163</v>
      </c>
      <c r="B113" s="199">
        <f>Сводный!B103</f>
        <v>0</v>
      </c>
      <c r="C113" s="200">
        <f>Сводный!C103</f>
        <v>0</v>
      </c>
      <c r="D113" s="201">
        <f>Сводный!D103</f>
        <v>0</v>
      </c>
      <c r="E113" s="199">
        <f>Сводный!E103</f>
        <v>0</v>
      </c>
      <c r="F113" s="200">
        <f>Сводный!F103</f>
        <v>0</v>
      </c>
      <c r="G113" s="202">
        <f>Сводный!G103</f>
        <v>0</v>
      </c>
      <c r="H113" s="276">
        <f>Сводный!I103</f>
        <v>0</v>
      </c>
      <c r="I113" s="277"/>
      <c r="J113" s="277"/>
      <c r="K113" s="278"/>
      <c r="L113" s="283">
        <f>Сводный!J103</f>
        <v>0</v>
      </c>
      <c r="M113" s="284"/>
      <c r="N113" s="285"/>
      <c r="O113" s="283">
        <f>Сводный!K103</f>
        <v>0</v>
      </c>
      <c r="P113" s="285"/>
      <c r="Q113" s="203">
        <f>Сводный!H103</f>
        <v>0</v>
      </c>
    </row>
    <row r="114" spans="1:17" ht="12.75" hidden="1">
      <c r="A114" s="189" t="s">
        <v>164</v>
      </c>
      <c r="B114" s="199">
        <f>Сводный!B104</f>
        <v>0</v>
      </c>
      <c r="C114" s="200">
        <f>Сводный!C104</f>
        <v>0</v>
      </c>
      <c r="D114" s="201">
        <f>Сводный!D104</f>
        <v>0</v>
      </c>
      <c r="E114" s="199">
        <f>Сводный!E104</f>
        <v>0</v>
      </c>
      <c r="F114" s="200">
        <f>Сводный!F104</f>
        <v>0</v>
      </c>
      <c r="G114" s="202">
        <f>Сводный!G104</f>
        <v>0</v>
      </c>
      <c r="H114" s="276">
        <f>Сводный!I104</f>
        <v>0</v>
      </c>
      <c r="I114" s="277"/>
      <c r="J114" s="277"/>
      <c r="K114" s="278"/>
      <c r="L114" s="283">
        <f>Сводный!J104</f>
        <v>0</v>
      </c>
      <c r="M114" s="284"/>
      <c r="N114" s="285"/>
      <c r="O114" s="283">
        <f>Сводный!K104</f>
        <v>0</v>
      </c>
      <c r="P114" s="285"/>
      <c r="Q114" s="203">
        <f>Сводный!H104</f>
        <v>0</v>
      </c>
    </row>
    <row r="115" spans="1:17" ht="12.75" hidden="1">
      <c r="A115" s="189" t="s">
        <v>153</v>
      </c>
      <c r="B115" s="199">
        <f>Сводный!B105</f>
        <v>0</v>
      </c>
      <c r="C115" s="200">
        <f>Сводный!C105</f>
        <v>0</v>
      </c>
      <c r="D115" s="201">
        <f>Сводный!D105</f>
        <v>0</v>
      </c>
      <c r="E115" s="199">
        <f>Сводный!E105</f>
        <v>0</v>
      </c>
      <c r="F115" s="200">
        <f>Сводный!F105</f>
        <v>0</v>
      </c>
      <c r="G115" s="202">
        <f>Сводный!G105</f>
        <v>0</v>
      </c>
      <c r="H115" s="276">
        <f>Сводный!I105</f>
        <v>0</v>
      </c>
      <c r="I115" s="277"/>
      <c r="J115" s="277"/>
      <c r="K115" s="278"/>
      <c r="L115" s="283">
        <f>Сводный!J105</f>
        <v>0</v>
      </c>
      <c r="M115" s="284"/>
      <c r="N115" s="285"/>
      <c r="O115" s="283">
        <f>Сводный!K105</f>
        <v>0</v>
      </c>
      <c r="P115" s="285"/>
      <c r="Q115" s="203">
        <f>Сводный!H105</f>
        <v>0</v>
      </c>
    </row>
    <row r="116" spans="1:17" ht="12.75" hidden="1">
      <c r="A116" s="189" t="s">
        <v>165</v>
      </c>
      <c r="B116" s="199">
        <f>Сводный!B106</f>
        <v>0</v>
      </c>
      <c r="C116" s="200">
        <f>Сводный!C106</f>
        <v>0</v>
      </c>
      <c r="D116" s="201">
        <f>Сводный!D106</f>
        <v>0</v>
      </c>
      <c r="E116" s="199">
        <f>Сводный!E106</f>
        <v>0</v>
      </c>
      <c r="F116" s="200">
        <f>Сводный!F106</f>
        <v>0</v>
      </c>
      <c r="G116" s="202">
        <f>Сводный!G106</f>
        <v>0</v>
      </c>
      <c r="H116" s="276">
        <f>Сводный!I106</f>
        <v>0</v>
      </c>
      <c r="I116" s="277"/>
      <c r="J116" s="277"/>
      <c r="K116" s="278"/>
      <c r="L116" s="283">
        <f>Сводный!J106</f>
        <v>0</v>
      </c>
      <c r="M116" s="284"/>
      <c r="N116" s="285"/>
      <c r="O116" s="283">
        <f>Сводный!K106</f>
        <v>0</v>
      </c>
      <c r="P116" s="285"/>
      <c r="Q116" s="203">
        <f>Сводный!H106</f>
        <v>0</v>
      </c>
    </row>
    <row r="117" spans="1:17" ht="12.75" hidden="1">
      <c r="A117" s="189" t="s">
        <v>166</v>
      </c>
      <c r="B117" s="199">
        <f>Сводный!B107</f>
        <v>0</v>
      </c>
      <c r="C117" s="200">
        <f>Сводный!C107</f>
        <v>0</v>
      </c>
      <c r="D117" s="201">
        <f>Сводный!D107</f>
        <v>0</v>
      </c>
      <c r="E117" s="199">
        <f>Сводный!E107</f>
        <v>0</v>
      </c>
      <c r="F117" s="200">
        <f>Сводный!F107</f>
        <v>0</v>
      </c>
      <c r="G117" s="202">
        <f>Сводный!G107</f>
        <v>0</v>
      </c>
      <c r="H117" s="276">
        <f>Сводный!I107</f>
        <v>0</v>
      </c>
      <c r="I117" s="277"/>
      <c r="J117" s="277"/>
      <c r="K117" s="278"/>
      <c r="L117" s="283">
        <f>Сводный!J107</f>
        <v>0</v>
      </c>
      <c r="M117" s="284"/>
      <c r="N117" s="285"/>
      <c r="O117" s="283">
        <f>Сводный!K107</f>
        <v>0</v>
      </c>
      <c r="P117" s="285"/>
      <c r="Q117" s="203">
        <f>Сводный!H107</f>
        <v>0</v>
      </c>
    </row>
    <row r="118" spans="1:17" ht="12.75" hidden="1">
      <c r="A118" s="189" t="s">
        <v>167</v>
      </c>
      <c r="B118" s="199">
        <f>Сводный!B108</f>
        <v>0</v>
      </c>
      <c r="C118" s="200">
        <f>Сводный!C108</f>
        <v>0</v>
      </c>
      <c r="D118" s="201">
        <f>Сводный!D108</f>
        <v>0</v>
      </c>
      <c r="E118" s="199">
        <f>Сводный!E108</f>
        <v>0</v>
      </c>
      <c r="F118" s="200">
        <f>Сводный!F108</f>
        <v>0</v>
      </c>
      <c r="G118" s="202">
        <f>Сводный!G108</f>
        <v>0</v>
      </c>
      <c r="H118" s="276">
        <f>Сводный!I108</f>
        <v>0</v>
      </c>
      <c r="I118" s="277"/>
      <c r="J118" s="277"/>
      <c r="K118" s="278"/>
      <c r="L118" s="283">
        <f>Сводный!J108</f>
        <v>0</v>
      </c>
      <c r="M118" s="284"/>
      <c r="N118" s="285"/>
      <c r="O118" s="283">
        <f>Сводный!K108</f>
        <v>0</v>
      </c>
      <c r="P118" s="285"/>
      <c r="Q118" s="203">
        <f>Сводный!H108</f>
        <v>0</v>
      </c>
    </row>
    <row r="119" spans="1:17" ht="13.5" hidden="1" thickBot="1">
      <c r="A119" s="248" t="s">
        <v>200</v>
      </c>
      <c r="B119" s="199">
        <f>Сводный!B109</f>
        <v>0</v>
      </c>
      <c r="C119" s="200">
        <f>Сводный!C109</f>
        <v>0</v>
      </c>
      <c r="D119" s="201">
        <f>Сводный!D109</f>
        <v>0</v>
      </c>
      <c r="E119" s="199">
        <f>Сводный!E109</f>
        <v>0</v>
      </c>
      <c r="F119" s="200">
        <f>Сводный!F109</f>
        <v>0</v>
      </c>
      <c r="G119" s="202">
        <f>Сводный!G109</f>
        <v>0</v>
      </c>
      <c r="H119" s="276">
        <f>Сводный!I109</f>
        <v>0</v>
      </c>
      <c r="I119" s="277"/>
      <c r="J119" s="277"/>
      <c r="K119" s="278"/>
      <c r="L119" s="283">
        <f>Сводный!J109</f>
        <v>0</v>
      </c>
      <c r="M119" s="284"/>
      <c r="N119" s="285"/>
      <c r="O119" s="283">
        <f>Сводный!K109</f>
        <v>0</v>
      </c>
      <c r="P119" s="285"/>
      <c r="Q119" s="203">
        <f>Сводный!H109</f>
        <v>0</v>
      </c>
    </row>
    <row r="120" spans="1:17" ht="15.75" hidden="1" thickBot="1">
      <c r="A120" s="38" t="s">
        <v>99</v>
      </c>
      <c r="B120" s="204">
        <f aca="true" t="shared" si="6" ref="B120:G120">SUM(B86:B119)</f>
        <v>0</v>
      </c>
      <c r="C120" s="205">
        <f t="shared" si="6"/>
        <v>0</v>
      </c>
      <c r="D120" s="206">
        <f t="shared" si="6"/>
        <v>0</v>
      </c>
      <c r="E120" s="204">
        <f t="shared" si="6"/>
        <v>0</v>
      </c>
      <c r="F120" s="205">
        <f t="shared" si="6"/>
        <v>0</v>
      </c>
      <c r="G120" s="206">
        <f t="shared" si="6"/>
        <v>0</v>
      </c>
      <c r="H120" s="279">
        <f>SUM(H86:K119)</f>
        <v>0</v>
      </c>
      <c r="I120" s="280"/>
      <c r="J120" s="280"/>
      <c r="K120" s="281"/>
      <c r="L120" s="282">
        <f>SUM(L86:N119)</f>
        <v>0</v>
      </c>
      <c r="M120" s="280"/>
      <c r="N120" s="281"/>
      <c r="O120" s="282">
        <f>SUM(O86:P119)</f>
        <v>0</v>
      </c>
      <c r="P120" s="281"/>
      <c r="Q120" s="207">
        <f>SUM(Q86:Q119)</f>
        <v>0</v>
      </c>
    </row>
    <row r="122" spans="1:18" ht="12.75">
      <c r="A122" s="67" t="s">
        <v>121</v>
      </c>
      <c r="B122" s="69"/>
      <c r="C122" s="69"/>
      <c r="D122" s="69"/>
      <c r="E122" s="69"/>
      <c r="F122" s="69"/>
      <c r="G122" s="69"/>
      <c r="H122" s="320" t="str">
        <f>'Заполнить !'!B6</f>
        <v>Н.А. Аксенова</v>
      </c>
      <c r="I122" s="320"/>
      <c r="J122" s="320"/>
      <c r="K122" s="320"/>
      <c r="L122" s="117"/>
      <c r="M122" s="67"/>
      <c r="N122" s="67"/>
      <c r="O122" s="67"/>
      <c r="P122" s="67"/>
      <c r="Q122" s="67"/>
      <c r="R122" s="67"/>
    </row>
    <row r="123" spans="1:18" ht="12.75">
      <c r="A123" s="67"/>
      <c r="B123" s="70"/>
      <c r="C123" s="70"/>
      <c r="D123" s="70"/>
      <c r="E123" s="70"/>
      <c r="F123" s="70"/>
      <c r="G123" s="70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</row>
    <row r="124" spans="1:18" ht="12.75">
      <c r="A124" s="67" t="s">
        <v>122</v>
      </c>
      <c r="B124" s="69"/>
      <c r="C124" s="69"/>
      <c r="D124" s="69"/>
      <c r="E124" s="69"/>
      <c r="F124" s="69"/>
      <c r="G124" s="69"/>
      <c r="H124" s="320" t="str">
        <f>'Заполнить !'!B7</f>
        <v>Е.А.Шинкаренко</v>
      </c>
      <c r="I124" s="320"/>
      <c r="J124" s="320"/>
      <c r="K124" s="320"/>
      <c r="L124" s="117"/>
      <c r="M124" s="67"/>
      <c r="N124" s="67"/>
      <c r="O124" s="67"/>
      <c r="P124" s="67"/>
      <c r="Q124" s="67"/>
      <c r="R124" s="67"/>
    </row>
    <row r="125" spans="1:18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</row>
    <row r="126" spans="1:18" ht="16.5" customHeight="1">
      <c r="A126" s="66" t="s">
        <v>126</v>
      </c>
      <c r="B126" s="326" t="str">
        <f>'Заполнить !'!B9</f>
        <v>kuzturotdel@yandex.ru</v>
      </c>
      <c r="C126" s="326"/>
      <c r="D126" s="326"/>
      <c r="E126" s="326"/>
      <c r="F126" s="326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1:18" ht="16.5" customHeight="1">
      <c r="A127" s="7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ht="12.75">
      <c r="A128" s="68" t="s">
        <v>120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</row>
  </sheetData>
  <sheetProtection/>
  <mergeCells count="130">
    <mergeCell ref="H119:K119"/>
    <mergeCell ref="L119:N119"/>
    <mergeCell ref="O119:P119"/>
    <mergeCell ref="B126:F126"/>
    <mergeCell ref="Q8:Q9"/>
    <mergeCell ref="R8:R9"/>
    <mergeCell ref="H122:K122"/>
    <mergeCell ref="L93:N93"/>
    <mergeCell ref="A22:R22"/>
    <mergeCell ref="R24:R25"/>
    <mergeCell ref="A8:A9"/>
    <mergeCell ref="B8:P8"/>
    <mergeCell ref="A24:A25"/>
    <mergeCell ref="B24:P24"/>
    <mergeCell ref="Q24:Q25"/>
    <mergeCell ref="H124:K124"/>
    <mergeCell ref="A84:A85"/>
    <mergeCell ref="B84:G84"/>
    <mergeCell ref="O84:P85"/>
    <mergeCell ref="L92:N92"/>
    <mergeCell ref="A1:H1"/>
    <mergeCell ref="A2:R2"/>
    <mergeCell ref="A3:R3"/>
    <mergeCell ref="D5:G5"/>
    <mergeCell ref="A5:B5"/>
    <mergeCell ref="A4:B4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109:P109"/>
    <mergeCell ref="O98:P98"/>
    <mergeCell ref="O99:P99"/>
    <mergeCell ref="O100:P100"/>
    <mergeCell ref="O101:P101"/>
    <mergeCell ref="O102:P102"/>
    <mergeCell ref="O103:P103"/>
    <mergeCell ref="O117:P117"/>
    <mergeCell ref="O118:P118"/>
    <mergeCell ref="O86:P86"/>
    <mergeCell ref="O110:P110"/>
    <mergeCell ref="O111:P111"/>
    <mergeCell ref="O112:P112"/>
    <mergeCell ref="O113:P113"/>
    <mergeCell ref="O114:P114"/>
    <mergeCell ref="O115:P115"/>
    <mergeCell ref="O104:P104"/>
    <mergeCell ref="H97:K97"/>
    <mergeCell ref="H92:K92"/>
    <mergeCell ref="H93:K93"/>
    <mergeCell ref="H94:K94"/>
    <mergeCell ref="L111:N111"/>
    <mergeCell ref="L109:N109"/>
    <mergeCell ref="L94:N94"/>
    <mergeCell ref="L95:N95"/>
    <mergeCell ref="O116:P116"/>
    <mergeCell ref="O105:P105"/>
    <mergeCell ref="O106:P106"/>
    <mergeCell ref="O107:P107"/>
    <mergeCell ref="O108:P108"/>
    <mergeCell ref="L112:N112"/>
    <mergeCell ref="L113:N113"/>
    <mergeCell ref="L114:N114"/>
    <mergeCell ref="L115:N115"/>
    <mergeCell ref="L110:N110"/>
    <mergeCell ref="A82:M82"/>
    <mergeCell ref="Q84:Q85"/>
    <mergeCell ref="H117:K117"/>
    <mergeCell ref="H106:K106"/>
    <mergeCell ref="H107:K107"/>
    <mergeCell ref="H108:K108"/>
    <mergeCell ref="H109:K109"/>
    <mergeCell ref="H104:K104"/>
    <mergeCell ref="H105:K105"/>
    <mergeCell ref="H95:K95"/>
    <mergeCell ref="L84:N85"/>
    <mergeCell ref="L86:N86"/>
    <mergeCell ref="L87:N87"/>
    <mergeCell ref="L88:N88"/>
    <mergeCell ref="L89:N89"/>
    <mergeCell ref="L90:N90"/>
    <mergeCell ref="L96:N96"/>
    <mergeCell ref="L97:N97"/>
    <mergeCell ref="L98:N98"/>
    <mergeCell ref="L100:N100"/>
    <mergeCell ref="L101:N101"/>
    <mergeCell ref="L102:N102"/>
    <mergeCell ref="H91:K91"/>
    <mergeCell ref="L104:N104"/>
    <mergeCell ref="L105:N105"/>
    <mergeCell ref="L106:N106"/>
    <mergeCell ref="L107:N107"/>
    <mergeCell ref="L108:N108"/>
    <mergeCell ref="L91:N91"/>
    <mergeCell ref="L103:N103"/>
    <mergeCell ref="L99:N99"/>
    <mergeCell ref="H96:K96"/>
    <mergeCell ref="H98:K98"/>
    <mergeCell ref="L116:N116"/>
    <mergeCell ref="L117:N117"/>
    <mergeCell ref="L118:N118"/>
    <mergeCell ref="H84:K85"/>
    <mergeCell ref="H86:K86"/>
    <mergeCell ref="H87:K87"/>
    <mergeCell ref="H88:K88"/>
    <mergeCell ref="H89:K89"/>
    <mergeCell ref="H90:K90"/>
    <mergeCell ref="H99:K99"/>
    <mergeCell ref="H100:K100"/>
    <mergeCell ref="H101:K101"/>
    <mergeCell ref="H102:K102"/>
    <mergeCell ref="H103:K103"/>
    <mergeCell ref="H110:K110"/>
    <mergeCell ref="H118:K118"/>
    <mergeCell ref="H120:K120"/>
    <mergeCell ref="L120:N120"/>
    <mergeCell ref="O120:P120"/>
    <mergeCell ref="H111:K111"/>
    <mergeCell ref="H112:K112"/>
    <mergeCell ref="H113:K113"/>
    <mergeCell ref="H114:K114"/>
    <mergeCell ref="H115:K115"/>
    <mergeCell ref="H116:K116"/>
  </mergeCells>
  <printOptions horizontalCentered="1"/>
  <pageMargins left="0.15748031496062992" right="0.11811023622047245" top="0.07874015748031496" bottom="0.11811023622047245" header="0.1968503937007874" footer="0.2362204724409449"/>
  <pageSetup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2:R109"/>
  <sheetViews>
    <sheetView zoomScale="120" zoomScaleNormal="120" zoomScalePageLayoutView="0" workbookViewId="0" topLeftCell="A1">
      <selection activeCell="H109" sqref="H109"/>
    </sheetView>
  </sheetViews>
  <sheetFormatPr defaultColWidth="9.00390625" defaultRowHeight="12.75"/>
  <cols>
    <col min="1" max="1" width="35.75390625" style="0" customWidth="1"/>
    <col min="2" max="3" width="7.25390625" style="0" customWidth="1"/>
    <col min="5" max="6" width="7.625" style="0" customWidth="1"/>
    <col min="8" max="9" width="7.25390625" style="0" customWidth="1"/>
    <col min="11" max="12" width="7.125" style="0" customWidth="1"/>
    <col min="14" max="15" width="6.875" style="0" customWidth="1"/>
    <col min="17" max="17" width="15.25390625" style="0" customWidth="1"/>
  </cols>
  <sheetData>
    <row r="1" ht="13.5" thickBot="1"/>
    <row r="2" spans="1:16" ht="13.5" thickBot="1">
      <c r="A2" s="334" t="s">
        <v>18</v>
      </c>
      <c r="B2" s="336" t="s">
        <v>90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3.5" thickBot="1">
      <c r="A3" s="335"/>
      <c r="B3" s="231" t="s">
        <v>93</v>
      </c>
      <c r="C3" s="128" t="s">
        <v>135</v>
      </c>
      <c r="D3" s="129" t="s">
        <v>94</v>
      </c>
      <c r="E3" s="127" t="s">
        <v>95</v>
      </c>
      <c r="F3" s="128" t="s">
        <v>135</v>
      </c>
      <c r="G3" s="129" t="s">
        <v>94</v>
      </c>
      <c r="H3" s="127" t="s">
        <v>96</v>
      </c>
      <c r="I3" s="128" t="s">
        <v>135</v>
      </c>
      <c r="J3" s="129" t="s">
        <v>94</v>
      </c>
      <c r="K3" s="127" t="s">
        <v>97</v>
      </c>
      <c r="L3" s="128" t="s">
        <v>135</v>
      </c>
      <c r="M3" s="129" t="s">
        <v>94</v>
      </c>
      <c r="N3" s="127" t="s">
        <v>98</v>
      </c>
      <c r="O3" s="128" t="s">
        <v>135</v>
      </c>
      <c r="P3" s="129" t="s">
        <v>94</v>
      </c>
    </row>
    <row r="4" spans="1:16" ht="12.75">
      <c r="A4" s="232" t="s">
        <v>19</v>
      </c>
      <c r="B4" s="130">
        <f>COUNTIF('Журнал регистрации НК'!J6:J305,"Пешеходный")</f>
        <v>0</v>
      </c>
      <c r="C4" s="91">
        <f>SUMIF('Журнал регистрации НК'!J6:J305,"Пешеходный",'Журнал регистрации НК'!G6:G305)</f>
        <v>0</v>
      </c>
      <c r="D4" s="131">
        <f>SUMIF('Журнал регистрации НК'!J6:J305,"Пешеходный",'Журнал регистрации НК'!H6:H305)</f>
        <v>0</v>
      </c>
      <c r="E4" s="130">
        <f>_xlfn.COUNTIFS('Журнал регистрации КС'!J6:J40,"Пешеходный",'Журнал регистрации КС'!I6:I40,"1")+_xlfn.COUNTIFS('Журнал регистрации КС'!J6:J40,"Пешеходный",'Журнал регистрации КС'!I6:I40,"1 с эл. 2 КС")</f>
        <v>0</v>
      </c>
      <c r="F4" s="92">
        <f>_xlfn.SUMIFS('Журнал регистрации КС'!G6:G40,'Журнал регистрации КС'!J6:J40,"Пешеходный",'Журнал регистрации КС'!I6:I40,"1")+_xlfn.SUMIFS('Журнал регистрации КС'!G6:G40,'Журнал регистрации КС'!J6:J40,"Пешеходный",'Журнал регистрации КС'!I6:I40,"1 с эл. 2 КС")</f>
        <v>0</v>
      </c>
      <c r="G4" s="132">
        <f>_xlfn.SUMIFS('Журнал регистрации КС'!H6:H40,'Журнал регистрации КС'!J6:J40,"Пешеходный",'Журнал регистрации КС'!I6:I40,"1")+_xlfn.SUMIFS('Журнал регистрации КС'!H6:H40,'Журнал регистрации КС'!J6:J40,"Пешеходный",'Журнал регистрации КС'!I6:I40,"1 с эл. 2 КС")</f>
        <v>0</v>
      </c>
      <c r="H4" s="130">
        <f>_xlfn.COUNTIFS('Журнал регистрации КС'!J6:J40,"Пешеходный",'Журнал регистрации КС'!I6:I40,"2")+_xlfn.COUNTIFS('Журнал регистрации КС'!J6:J40,"Пешеходный",'Журнал регистрации КС'!I6:I40,"2 с эл. 3 КС")</f>
        <v>0</v>
      </c>
      <c r="I4" s="92">
        <f>_xlfn.SUMIFS('Журнал регистрации КС'!G6:G40,'Журнал регистрации КС'!J6:J40,"Пешеходный",'Журнал регистрации КС'!I6:I40,"2")+_xlfn.SUMIFS('Журнал регистрации КС'!H6:H40,'Журнал регистрации КС'!J6:J40,"Пешеходный",'Журнал регистрации КС'!I6:I40,"2 с эл. 3 КС")</f>
        <v>0</v>
      </c>
      <c r="J4" s="132">
        <f>_xlfn.SUMIFS('Журнал регистрации КС'!H6:H40,'Журнал регистрации КС'!J6:J40,"Пешеходный",'Журнал регистрации КС'!I6:I40,"2")+_xlfn.SUMIFS('Журнал регистрации КС'!H6:H40,'Журнал регистрации КС'!J6:J40,"Пешеходный",'Журнал регистрации КС'!I6:I40,"2 с эл. 3 КС")</f>
        <v>0</v>
      </c>
      <c r="K4" s="130">
        <f>_xlfn.COUNTIFS('Журнал регистрации КС'!J6:J40,"Пешеходный",'Журнал регистрации КС'!I6:I40,"3")</f>
        <v>0</v>
      </c>
      <c r="L4" s="91">
        <f>_xlfn.SUMIFS('Журнал регистрации КС'!G6:G40,'Журнал регистрации КС'!J6:J40,"Пешеходный",'Журнал регистрации КС'!I6:I40,"3")</f>
        <v>0</v>
      </c>
      <c r="M4" s="131">
        <f>_xlfn.SUMIFS('Журнал регистрации КС'!H6:H40,'Журнал регистрации КС'!J6:J40,"Пешеходный",'Журнал регистрации КС'!I6:I40,"3")</f>
        <v>0</v>
      </c>
      <c r="N4" s="130">
        <f>_xlfn.COUNTIFS('Журнал регистрации КС'!J6:J40,"Пешеходный",'Журнал регистрации КС'!I6:I40,"4")</f>
        <v>0</v>
      </c>
      <c r="O4" s="91">
        <f>_xlfn.SUMIFS('Журнал регистрации КС'!G6:G40,'Журнал регистрации КС'!J6:J40,"Пешеходный",'Журнал регистрации КС'!I6:I40,"4")</f>
        <v>0</v>
      </c>
      <c r="P4" s="131">
        <f>_xlfn.SUMIFS('Журнал регистрации КС'!H6:H40,'Журнал регистрации КС'!J6:J40,"Пешеходный",'Журнал регистрации КС'!I6:I40,"4")</f>
        <v>0</v>
      </c>
    </row>
    <row r="5" spans="1:16" ht="12.75">
      <c r="A5" s="233" t="s">
        <v>9</v>
      </c>
      <c r="B5" s="130">
        <f>COUNTIF('Журнал регистрации НК'!J6:J305,"Лыжный")</f>
        <v>0</v>
      </c>
      <c r="C5" s="91">
        <f>SUMIF('Журнал регистрации НК'!J6:J305,"Лыжный",'Журнал регистрации НК'!G6:G305)</f>
        <v>0</v>
      </c>
      <c r="D5" s="131">
        <f>SUMIF('Журнал регистрации НК'!J6:J305,"Лыжный",'Журнал регистрации НК'!H6:H305)</f>
        <v>0</v>
      </c>
      <c r="E5" s="130">
        <f>_xlfn.COUNTIFS('Журнал регистрации КС'!J6:J40,"Лыжный",'Журнал регистрации КС'!I6:I40,"1")+_xlfn.COUNTIFS('Журнал регистрации КС'!J6:J40,"Лыжный",'Журнал регистрации КС'!I6:I40,"1 с эл. 2 КС")</f>
        <v>0</v>
      </c>
      <c r="F5" s="92">
        <f>_xlfn.SUMIFS('Журнал регистрации КС'!G6:G40,'Журнал регистрации КС'!J6:J40,"Лыжный",'Журнал регистрации КС'!I6:I40,"1")+_xlfn.SUMIFS('Журнал регистрации КС'!G6:G40,'Журнал регистрации КС'!J6:J40,"Лыжный",'Журнал регистрации КС'!I6:I40,"1 с эл. 2 КС")</f>
        <v>0</v>
      </c>
      <c r="G5" s="132">
        <f>_xlfn.SUMIFS('Журнал регистрации КС'!H6:H40,'Журнал регистрации КС'!J6:J40,"Лыжный",'Журнал регистрации КС'!I6:I40,"1")+_xlfn.SUMIFS('Журнал регистрации КС'!H6:H40,'Журнал регистрации КС'!J6:J40,"Лыжный",'Журнал регистрации КС'!I6:I40,"1 с эл. 2 КС")</f>
        <v>0</v>
      </c>
      <c r="H5" s="130">
        <f>_xlfn.COUNTIFS('Журнал регистрации КС'!J6:J40,"Лыжный",'Журнал регистрации КС'!I6:I40,"2")+_xlfn.COUNTIFS('Журнал регистрации КС'!J6:J40,"Лыжный",'Журнал регистрации КС'!I6:I40,"2 с эл. 3 КС")</f>
        <v>0</v>
      </c>
      <c r="I5" s="92">
        <f>_xlfn.SUMIFS('Журнал регистрации КС'!G6:G40,'Журнал регистрации КС'!J6:J40,"Лыжный",'Журнал регистрации КС'!I6:I40,"2")+_xlfn.SUMIFS('Журнал регистрации КС'!H6:H40,'Журнал регистрации КС'!J6:J40,"Лыжный",'Журнал регистрации КС'!I6:I40,"2 с эл. 3 КС")</f>
        <v>0</v>
      </c>
      <c r="J5" s="132">
        <f>_xlfn.SUMIFS('Журнал регистрации КС'!H6:H40,'Журнал регистрации КС'!J6:J40,"Лыжный",'Журнал регистрации КС'!I6:I40,"2")+_xlfn.SUMIFS('Журнал регистрации КС'!H6:H40,'Журнал регистрации КС'!J6:J40,"Лыжный",'Журнал регистрации КС'!I6:I40,"2 с эл. 3 КС")</f>
        <v>0</v>
      </c>
      <c r="K5" s="130">
        <f>_xlfn.COUNTIFS('Журнал регистрации КС'!J6:J40,"Лыжный",'Журнал регистрации КС'!I6:I40,"3")</f>
        <v>0</v>
      </c>
      <c r="L5" s="91">
        <f>_xlfn.SUMIFS('Журнал регистрации КС'!G6:G40,'Журнал регистрации КС'!J6:J40,"Лыжный",'Журнал регистрации КС'!I6:I40,"3")</f>
        <v>0</v>
      </c>
      <c r="M5" s="131">
        <f>_xlfn.SUMIFS('Журнал регистрации КС'!H6:H40,'Журнал регистрации КС'!J6:J40,"Лыжный",'Журнал регистрации КС'!I6:I40,"3")</f>
        <v>0</v>
      </c>
      <c r="N5" s="130">
        <f>_xlfn.COUNTIFS('Журнал регистрации КС'!J6:J40,"Лыжный",'Журнал регистрации КС'!I6:I40,"4")</f>
        <v>0</v>
      </c>
      <c r="O5" s="91">
        <f>_xlfn.SUMIFS('Журнал регистрации КС'!G6:G40,'Журнал регистрации КС'!J6:J40,"Лыжный",'Журнал регистрации КС'!I6:I40,"4")</f>
        <v>0</v>
      </c>
      <c r="P5" s="131">
        <f>_xlfn.SUMIFS('Журнал регистрации КС'!H6:H40,'Журнал регистрации КС'!J6:J40,"Лыжный",'Журнал регистрации КС'!I6:I40,"4")</f>
        <v>0</v>
      </c>
    </row>
    <row r="6" spans="1:16" ht="12.75">
      <c r="A6" s="233" t="s">
        <v>7</v>
      </c>
      <c r="B6" s="130">
        <f>COUNTIF('Журнал регистрации НК'!J6:J305,"Горный")</f>
        <v>0</v>
      </c>
      <c r="C6" s="91">
        <f>SUMIF('Журнал регистрации НК'!J6:J305,"Горный",'Журнал регистрации НК'!G6:G305)</f>
        <v>0</v>
      </c>
      <c r="D6" s="131">
        <f>SUMIF('Журнал регистрации НК'!J6:J305,"Горный",'Журнал регистрации НК'!H6:H305)</f>
        <v>0</v>
      </c>
      <c r="E6" s="130">
        <f>_xlfn.COUNTIFS('Журнал регистрации КС'!J6:J40,"Горный",'Журнал регистрации КС'!I6:I40,"1")+_xlfn.COUNTIFS('Журнал регистрации КС'!J6:J40,"Горный",'Журнал регистрации КС'!I6:I40,"1 с эл. 2 КС")</f>
        <v>0</v>
      </c>
      <c r="F6" s="92">
        <f>_xlfn.SUMIFS('Журнал регистрации КС'!G6:G40,'Журнал регистрации КС'!J6:J40,"Горный",'Журнал регистрации КС'!I6:I40,"1")+_xlfn.SUMIFS('Журнал регистрации КС'!G6:G40,'Журнал регистрации КС'!J6:J40,"Горный",'Журнал регистрации КС'!I6:I40,"1 с эл. 2 КС")</f>
        <v>0</v>
      </c>
      <c r="G6" s="132">
        <f>_xlfn.SUMIFS('Журнал регистрации КС'!H6:H40,'Журнал регистрации КС'!J6:J40,"Горный",'Журнал регистрации КС'!I6:I40,"1")+_xlfn.SUMIFS('Журнал регистрации КС'!H6:H40,'Журнал регистрации КС'!J6:J40,"Горный",'Журнал регистрации КС'!I6:I40,"1 с эл. 2 КС")</f>
        <v>0</v>
      </c>
      <c r="H6" s="130">
        <f>_xlfn.COUNTIFS('Журнал регистрации КС'!J6:J40,"Горный",'Журнал регистрации КС'!I6:I40,"2")+_xlfn.COUNTIFS('Журнал регистрации КС'!J6:J40,"Горный",'Журнал регистрации КС'!I6:I40,"2 с эл. 3 КС")</f>
        <v>0</v>
      </c>
      <c r="I6" s="92">
        <f>_xlfn.SUMIFS('Журнал регистрации КС'!G6:G40,'Журнал регистрации КС'!J6:J40,"Горный",'Журнал регистрации КС'!I6:I40,"2")+_xlfn.SUMIFS('Журнал регистрации КС'!H6:H40,'Журнал регистрации КС'!J6:J40,"Горный",'Журнал регистрации КС'!I6:I40,"2 с эл. 3 КС")</f>
        <v>0</v>
      </c>
      <c r="J6" s="132">
        <f>_xlfn.SUMIFS('Журнал регистрации КС'!H6:H40,'Журнал регистрации КС'!J6:J40,"Горный",'Журнал регистрации КС'!I6:I40,"2")+_xlfn.SUMIFS('Журнал регистрации КС'!H6:H40,'Журнал регистрации КС'!J6:J40,"Горный",'Журнал регистрации КС'!I6:I40,"2 с эл. 3 КС")</f>
        <v>0</v>
      </c>
      <c r="K6" s="130">
        <f>_xlfn.COUNTIFS('Журнал регистрации КС'!J6:J40,"Горный",'Журнал регистрации КС'!I6:I40,"3")</f>
        <v>0</v>
      </c>
      <c r="L6" s="91">
        <f>_xlfn.SUMIFS('Журнал регистрации КС'!G6:G40,'Журнал регистрации КС'!J6:J40,"Горный",'Журнал регистрации КС'!I6:I40,"3")</f>
        <v>0</v>
      </c>
      <c r="M6" s="131">
        <f>_xlfn.SUMIFS('Журнал регистрации КС'!H6:H40,'Журнал регистрации КС'!J6:J40,"Горный",'Журнал регистрации КС'!I6:I40,"3")</f>
        <v>0</v>
      </c>
      <c r="N6" s="130">
        <f>_xlfn.COUNTIFS('Журнал регистрации КС'!J6:J40,"Горный",'Журнал регистрации КС'!I6:I40,"4")</f>
        <v>0</v>
      </c>
      <c r="O6" s="91">
        <f>_xlfn.SUMIFS('Журнал регистрации КС'!G6:G40,'Журнал регистрации КС'!J6:J40,"Горный",'Журнал регистрации КС'!I6:I40,"4")</f>
        <v>0</v>
      </c>
      <c r="P6" s="131">
        <f>_xlfn.SUMIFS('Журнал регистрации КС'!H6:H40,'Журнал регистрации КС'!J6:J40,"Горный",'Журнал регистрации КС'!I6:I40,"4")</f>
        <v>0</v>
      </c>
    </row>
    <row r="7" spans="1:16" ht="12.75">
      <c r="A7" s="233" t="s">
        <v>6</v>
      </c>
      <c r="B7" s="130">
        <f>COUNTIF('Журнал регистрации НК'!J6:J305,"Водный")</f>
        <v>0</v>
      </c>
      <c r="C7" s="91">
        <f>SUMIF('Журнал регистрации НК'!J6:J305,"Водный",'Журнал регистрации НК'!G6:G305)</f>
        <v>0</v>
      </c>
      <c r="D7" s="131">
        <f>SUMIF('Журнал регистрации НК'!J6:J305,"Водный",'Журнал регистрации НК'!H6:H305)</f>
        <v>0</v>
      </c>
      <c r="E7" s="130">
        <f>_xlfn.COUNTIFS('Журнал регистрации КС'!J6:J40,"Водный",'Журнал регистрации КС'!I6:I40,"1")+_xlfn.COUNTIFS('Журнал регистрации КС'!J6:J40,"Водный",'Журнал регистрации КС'!I6:I40,"1 с эл. 2 КС")</f>
        <v>0</v>
      </c>
      <c r="F7" s="92">
        <f>_xlfn.SUMIFS('Журнал регистрации КС'!G6:G40,'Журнал регистрации КС'!J6:J40,"Водный",'Журнал регистрации КС'!I6:I40,"1")+_xlfn.SUMIFS('Журнал регистрации КС'!G6:G40,'Журнал регистрации КС'!J6:J40,"Водный",'Журнал регистрации КС'!I6:I40,"1 с эл. 2 КС")</f>
        <v>0</v>
      </c>
      <c r="G7" s="132">
        <f>_xlfn.SUMIFS('Журнал регистрации КС'!H6:H40,'Журнал регистрации КС'!J6:J40,"Водный",'Журнал регистрации КС'!I6:I40,"1")+_xlfn.SUMIFS('Журнал регистрации КС'!H6:H40,'Журнал регистрации КС'!J6:J40,"Водный",'Журнал регистрации КС'!I6:I40,"1 с эл. 2 КС")</f>
        <v>0</v>
      </c>
      <c r="H7" s="130">
        <f>_xlfn.COUNTIFS('Журнал регистрации КС'!J6:J40,"Водный",'Журнал регистрации КС'!I6:I40,"2")+_xlfn.COUNTIFS('Журнал регистрации КС'!J6:J40,"Водный",'Журнал регистрации КС'!I6:I40,"2 с эл. 3 КС")</f>
        <v>0</v>
      </c>
      <c r="I7" s="92">
        <f>_xlfn.SUMIFS('Журнал регистрации КС'!G6:G40,'Журнал регистрации КС'!J6:J40,"Водный",'Журнал регистрации КС'!I6:I40,"2")+_xlfn.SUMIFS('Журнал регистрации КС'!H6:H40,'Журнал регистрации КС'!J6:J40,"Водный",'Журнал регистрации КС'!I6:I40,"2 с эл. 3 КС")</f>
        <v>0</v>
      </c>
      <c r="J7" s="132">
        <f>_xlfn.SUMIFS('Журнал регистрации КС'!H6:H40,'Журнал регистрации КС'!J6:J40,"Водный",'Журнал регистрации КС'!I6:I40,"2")+_xlfn.SUMIFS('Журнал регистрации КС'!H6:H40,'Журнал регистрации КС'!J6:J40,"Водный",'Журнал регистрации КС'!I6:I40,"2 с эл. 3 КС")</f>
        <v>0</v>
      </c>
      <c r="K7" s="130">
        <f>_xlfn.COUNTIFS('Журнал регистрации КС'!J6:J40,"Водный",'Журнал регистрации КС'!I6:I40,"3")</f>
        <v>0</v>
      </c>
      <c r="L7" s="91">
        <f>_xlfn.SUMIFS('Журнал регистрации КС'!G6:G40,'Журнал регистрации КС'!J6:J40,"Водный",'Журнал регистрации КС'!I6:I40,"3")</f>
        <v>0</v>
      </c>
      <c r="M7" s="131">
        <f>_xlfn.SUMIFS('Журнал регистрации КС'!H6:H40,'Журнал регистрации КС'!J6:J40,"Водный",'Журнал регистрации КС'!I6:I40,"3")</f>
        <v>0</v>
      </c>
      <c r="N7" s="130">
        <f>_xlfn.COUNTIFS('Журнал регистрации КС'!J6:J40,"Водный",'Журнал регистрации КС'!I6:I40,"4")</f>
        <v>0</v>
      </c>
      <c r="O7" s="91">
        <f>_xlfn.SUMIFS('Журнал регистрации КС'!G6:G40,'Журнал регистрации КС'!J6:J40,"Водный",'Журнал регистрации КС'!I6:I40,"4")</f>
        <v>0</v>
      </c>
      <c r="P7" s="131">
        <f>_xlfn.SUMIFS('Журнал регистрации КС'!H6:H40,'Журнал регистрации КС'!J6:J40,"Водный",'Журнал регистрации КС'!I6:I40,"4")</f>
        <v>0</v>
      </c>
    </row>
    <row r="8" spans="1:16" ht="12.75">
      <c r="A8" s="233" t="s">
        <v>8</v>
      </c>
      <c r="B8" s="133">
        <f>COUNTIF('Журнал регистрации НК'!J6:J305,"Спелео")</f>
        <v>0</v>
      </c>
      <c r="C8" s="134">
        <f>SUMIF('Журнал регистрации НК'!J6:J305,"Спелео",'Журнал регистрации НК'!G6:G305)</f>
        <v>0</v>
      </c>
      <c r="D8" s="135">
        <f>SUMIF('Журнал регистрации НК'!J6:J305,"Спелео",'Журнал регистрации НК'!H6:H305)</f>
        <v>0</v>
      </c>
      <c r="E8" s="133">
        <f>_xlfn.COUNTIFS('Журнал регистрации КС'!J6:J40,"Спелео",'Журнал регистрации КС'!I6:I40,"1")+_xlfn.COUNTIFS('Журнал регистрации КС'!J6:J40,"Спелео",'Журнал регистрации КС'!I6:I40,"1 с эл. 2 КС")</f>
        <v>0</v>
      </c>
      <c r="F8" s="136">
        <f>_xlfn.SUMIFS('Журнал регистрации КС'!G6:G40,'Журнал регистрации КС'!J6:J40,"Спелео",'Журнал регистрации КС'!I6:I40,"1")+_xlfn.SUMIFS('Журнал регистрации КС'!G6:G40,'Журнал регистрации КС'!J6:J40,"Спелео",'Журнал регистрации КС'!I6:I40,"1 с эл. 2 КС")</f>
        <v>0</v>
      </c>
      <c r="G8" s="132">
        <f>_xlfn.SUMIFS('Журнал регистрации КС'!H6:H40,'Журнал регистрации КС'!J6:J40,"Спелео",'Журнал регистрации КС'!I6:I40,"1")+_xlfn.SUMIFS('Журнал регистрации КС'!H6:H40,'Журнал регистрации КС'!J6:J40,"Спелео",'Журнал регистрации КС'!I6:I40,"1 с эл. 2 КС")</f>
        <v>0</v>
      </c>
      <c r="H8" s="130">
        <f>_xlfn.COUNTIFS('Журнал регистрации КС'!J6:J40,"Спелео",'Журнал регистрации КС'!I6:I40,"2")+_xlfn.COUNTIFS('Журнал регистрации КС'!J6:J40,"Спелео",'Журнал регистрации КС'!I6:I40,"2 с эл. 3 КС")</f>
        <v>0</v>
      </c>
      <c r="I8" s="92">
        <f>_xlfn.SUMIFS('Журнал регистрации КС'!G6:G40,'Журнал регистрации КС'!J6:J40,"Спелео",'Журнал регистрации КС'!I6:I40,"2")+_xlfn.SUMIFS('Журнал регистрации КС'!H6:H40,'Журнал регистрации КС'!J6:J40,"Спелео",'Журнал регистрации КС'!I6:I40,"2 с эл. 3 КС")</f>
        <v>0</v>
      </c>
      <c r="J8" s="132">
        <f>_xlfn.SUMIFS('Журнал регистрации КС'!H6:H40,'Журнал регистрации КС'!J6:J40,"Спелео",'Журнал регистрации КС'!I6:I40,"2")+_xlfn.SUMIFS('Журнал регистрации КС'!H6:H40,'Журнал регистрации КС'!J6:J40,"Спелео",'Журнал регистрации КС'!I6:I40,"2 с эл. 3 КС")</f>
        <v>0</v>
      </c>
      <c r="K8" s="130">
        <f>_xlfn.COUNTIFS('Журнал регистрации КС'!J6:J40,"Спелео",'Журнал регистрации КС'!I6:I40,"3")</f>
        <v>0</v>
      </c>
      <c r="L8" s="91">
        <f>_xlfn.SUMIFS('Журнал регистрации КС'!G6:G40,'Журнал регистрации КС'!J6:J40,"Спелео",'Журнал регистрации КС'!I6:I40,"3")</f>
        <v>0</v>
      </c>
      <c r="M8" s="131">
        <f>_xlfn.SUMIFS('Журнал регистрации КС'!H6:H40,'Журнал регистрации КС'!J6:J40,"Спелео",'Журнал регистрации КС'!I6:I40,"3")</f>
        <v>0</v>
      </c>
      <c r="N8" s="130">
        <f>_xlfn.COUNTIFS('Журнал регистрации КС'!J6:J40,"Спелео",'Журнал регистрации КС'!I6:I40,"4")</f>
        <v>0</v>
      </c>
      <c r="O8" s="91">
        <f>_xlfn.SUMIFS('Журнал регистрации КС'!G6:G40,'Журнал регистрации КС'!J6:J40,"Спелео",'Журнал регистрации КС'!I6:I40,"4")</f>
        <v>0</v>
      </c>
      <c r="P8" s="131">
        <f>_xlfn.SUMIFS('Журнал регистрации КС'!H6:H40,'Журнал регистрации КС'!J6:J40,"Спелео",'Журнал регистрации КС'!I6:I40,"4")</f>
        <v>0</v>
      </c>
    </row>
    <row r="9" spans="1:16" ht="12.75">
      <c r="A9" s="233" t="s">
        <v>176</v>
      </c>
      <c r="B9" s="133">
        <f>COUNTIF('Журнал регистрации НК'!J6:J305,"Велосипедный")</f>
        <v>0</v>
      </c>
      <c r="C9" s="134">
        <f>SUMIF('Журнал регистрации НК'!J7:J306,"Велосипедный",'Журнал регистрации НК'!G7:G306)</f>
        <v>0</v>
      </c>
      <c r="D9" s="135">
        <f>SUMIF('Журнал регистрации НК'!J7:J306,"Велосипедный",'Журнал регистрации НК'!H7:H306)</f>
        <v>0</v>
      </c>
      <c r="E9" s="133">
        <f>_xlfn.COUNTIFS('Журнал регистрации КС'!J6:J40,"Велосипедный",'Журнал регистрации КС'!I6:I40,"1")+_xlfn.COUNTIFS('Журнал регистрации КС'!J6:J40,"Велосипедный",'Журнал регистрации КС'!I6:I40,"1 с эл. 2 КС")</f>
        <v>0</v>
      </c>
      <c r="F9" s="136">
        <f>_xlfn.SUMIFS('Журнал регистрации КС'!G6:G40,'Журнал регистрации КС'!J6:J40,"Велосипедный",'Журнал регистрации КС'!I6:I40,"1")+_xlfn.SUMIFS('Журнал регистрации КС'!G6:G40,'Журнал регистрации КС'!J6:J40,"Велосипедный",'Журнал регистрации КС'!I6:I40,"1 с эл. 2 КС")</f>
        <v>0</v>
      </c>
      <c r="G9" s="132">
        <f>_xlfn.SUMIFS('Журнал регистрации КС'!H6:H40,'Журнал регистрации КС'!J6:J40,"Велосипедный",'Журнал регистрации КС'!I6:I40,"1")+_xlfn.SUMIFS('Журнал регистрации КС'!H6:H40,'Журнал регистрации КС'!J6:J40,"Велосипедный",'Журнал регистрации КС'!I6:I40,"1 с эл. 2 КС")</f>
        <v>0</v>
      </c>
      <c r="H9" s="130">
        <f>_xlfn.COUNTIFS('Журнал регистрации КС'!J6:J40,"Велосипедный",'Журнал регистрации КС'!I6:I40,"2")+_xlfn.COUNTIFS('Журнал регистрации КС'!J6:J40,"Велосипедный",'Журнал регистрации КС'!I6:I40,"2 с эл. 3 КС")</f>
        <v>0</v>
      </c>
      <c r="I9" s="92">
        <f>_xlfn.SUMIFS('Журнал регистрации КС'!G6:G40,'Журнал регистрации КС'!J6:J40,"Велосипедный",'Журнал регистрации КС'!I6:I40,"2")+_xlfn.SUMIFS('Журнал регистрации КС'!H6:H40,'Журнал регистрации КС'!J6:J40,"Велосипедный",'Журнал регистрации КС'!I6:I40,"2 с эл. 3 КС")</f>
        <v>0</v>
      </c>
      <c r="J9" s="132">
        <f>_xlfn.SUMIFS('Журнал регистрации КС'!H6:H40,'Журнал регистрации КС'!J6:J40,"Велосипедный",'Журнал регистрации КС'!I6:I40,"2")+_xlfn.SUMIFS('Журнал регистрации КС'!H6:H40,'Журнал регистрации КС'!J6:J40,"Велосипедный",'Журнал регистрации КС'!I6:I40,"2 с эл. 3 КС")</f>
        <v>0</v>
      </c>
      <c r="K9" s="130">
        <f>_xlfn.COUNTIFS('Журнал регистрации КС'!J6:J40,"Велосипедный",'Журнал регистрации КС'!I6:I40,"3")</f>
        <v>0</v>
      </c>
      <c r="L9" s="91">
        <f>_xlfn.SUMIFS('Журнал регистрации КС'!G6:G40,'Журнал регистрации КС'!J6:J40,"Велосипедный",'Журнал регистрации КС'!I6:I40,"3")</f>
        <v>0</v>
      </c>
      <c r="M9" s="131">
        <f>_xlfn.SUMIFS('Журнал регистрации КС'!H6:H40,'Журнал регистрации КС'!J6:J40,"Велосипедный",'Журнал регистрации КС'!I6:I40,"3")</f>
        <v>0</v>
      </c>
      <c r="N9" s="130">
        <f>_xlfn.COUNTIFS('Журнал регистрации КС'!J6:J40,"Велосипедный",'Журнал регистрации КС'!I6:I40,"4")</f>
        <v>0</v>
      </c>
      <c r="O9" s="91">
        <f>_xlfn.SUMIFS('Журнал регистрации КС'!G6:G40,'Журнал регистрации КС'!J6:J40,"Велосипедный",'Журнал регистрации КС'!I6:I40,"4")</f>
        <v>0</v>
      </c>
      <c r="P9" s="131">
        <f>_xlfn.SUMIFS('Журнал регистрации КС'!H6:H40,'Журнал регистрации КС'!J6:J40,"Велосипедный",'Журнал регистрации КС'!I6:I40,"4")</f>
        <v>0</v>
      </c>
    </row>
    <row r="10" spans="1:16" ht="13.5" thickBot="1">
      <c r="A10" s="234" t="s">
        <v>196</v>
      </c>
      <c r="B10" s="133">
        <f>COUNTIF('Журнал регистрации НК'!J6:J305,"Комбинированный")</f>
        <v>0</v>
      </c>
      <c r="C10" s="134">
        <f>SUMIF('Журнал регистрации НК'!J8:J307,"Комбинированный",'Журнал регистрации НК'!G8:G307)</f>
        <v>0</v>
      </c>
      <c r="D10" s="135">
        <f>SUMIF('Журнал регистрации НК'!J8:J307,"Комбинированный",'Журнал регистрации НК'!H8:H307)</f>
        <v>0</v>
      </c>
      <c r="E10" s="133">
        <f>_xlfn.COUNTIFS('Журнал регистрации КС'!J6:J40,"Комбинированный",'Журнал регистрации КС'!I6:I40,"1")+_xlfn.COUNTIFS('Журнал регистрации КС'!J8:J42,"Комбинированный",'Журнал регистрации КС'!I6:I40,"1 с эл. 2 КС")</f>
        <v>0</v>
      </c>
      <c r="F10" s="136">
        <f>_xlfn.SUMIFS('Журнал регистрации КС'!G6:G40,'Журнал регистрации КС'!J6:J40,"Комбинированный",'Журнал регистрации КС'!I6:I40,"1")+_xlfn.SUMIFS('Журнал регистрации КС'!G6:G40,'Журнал регистрации КС'!J6:J40,"Комбинированный",'Журнал регистрации КС'!I6:I40,"1 с эл. 2 КС")</f>
        <v>0</v>
      </c>
      <c r="G10" s="230">
        <f>_xlfn.SUMIFS('Журнал регистрации КС'!H6:H40,'Журнал регистрации КС'!J6:J40,"Комбинированный",'Журнал регистрации КС'!I6:I40,"1")+_xlfn.SUMIFS('Журнал регистрации КС'!H6:H40,'Журнал регистрации КС'!J6:J40,"Комбинированный",'Журнал регистрации КС'!I6:I40,"1 с эл. 2 КС")</f>
        <v>0</v>
      </c>
      <c r="H10" s="226">
        <f>_xlfn.COUNTIFS('Журнал регистрации КС'!J6:J40,"Комбинированный",'Журнал регистрации КС'!I6:I40,"2")+_xlfn.COUNTIFS('Журнал регистрации КС'!J6:J40,"Комбинированный",'Журнал регистрации КС'!I6:I40,"2 с эл. 3 КС")</f>
        <v>0</v>
      </c>
      <c r="I10" s="229">
        <f>_xlfn.SUMIFS('Журнал регистрации КС'!G6:G40,'Журнал регистрации КС'!J6:J40,"Комбинированный",'Журнал регистрации КС'!I6:I40,"2")+_xlfn.SUMIFS('Журнал регистрации КС'!H6:H40,'Журнал регистрации КС'!J6:J40,"Комбинированный",'Журнал регистрации КС'!I6:I40,"2 с эл. 3 КС")</f>
        <v>0</v>
      </c>
      <c r="J10" s="230">
        <f>_xlfn.SUMIFS('Журнал регистрации КС'!H6:H40,'Журнал регистрации КС'!J6:J40,"Комбинированный",'Журнал регистрации КС'!I6:I40,"2")+_xlfn.SUMIFS('Журнал регистрации КС'!H6:H40,'Журнал регистрации КС'!J6:J40,"Комбинированный",'Журнал регистрации КС'!I6:I40,"2 с эл. 3 КС")</f>
        <v>0</v>
      </c>
      <c r="K10" s="226">
        <f>_xlfn.COUNTIFS('Журнал регистрации КС'!J6:J40,"Комбинированный",'Журнал регистрации КС'!I6:I40,"3")</f>
        <v>0</v>
      </c>
      <c r="L10" s="227">
        <f>_xlfn.SUMIFS('Журнал регистрации КС'!G6:G40,'Журнал регистрации КС'!J6:J40,"Комбинированный",'Журнал регистрации КС'!I6:I40,"3")</f>
        <v>0</v>
      </c>
      <c r="M10" s="228">
        <f>_xlfn.SUMIFS('Журнал регистрации КС'!H6:H40,'Журнал регистрации КС'!J6:J40,"Комбинированный",'Журнал регистрации КС'!I6:I40,"3")</f>
        <v>0</v>
      </c>
      <c r="N10" s="226">
        <f>_xlfn.COUNTIFS('Журнал регистрации КС'!J6:J40,"Комбинированный",'Журнал регистрации КС'!I6:I40,"4")</f>
        <v>0</v>
      </c>
      <c r="O10" s="227">
        <f>_xlfn.SUMIFS('Журнал регистрации КС'!G6:G40,'Журнал регистрации КС'!J6:J40,"Комбинированный",'Журнал регистрации КС'!I6:I40,"4")</f>
        <v>0</v>
      </c>
      <c r="P10" s="228">
        <f>_xlfn.SUMIFS('Журнал регистрации КС'!H6:H40,'Журнал регистрации КС'!J6:J40,"Комбинированный",'Журнал регистрации КС'!I6:I40,"4")</f>
        <v>0</v>
      </c>
    </row>
    <row r="11" spans="1:16" ht="13.5" thickBot="1">
      <c r="A11" s="137" t="s">
        <v>99</v>
      </c>
      <c r="B11" s="138">
        <f aca="true" t="shared" si="0" ref="B11:P11">SUM(B4:B10)</f>
        <v>0</v>
      </c>
      <c r="C11" s="139">
        <f t="shared" si="0"/>
        <v>0</v>
      </c>
      <c r="D11" s="140">
        <f t="shared" si="0"/>
        <v>0</v>
      </c>
      <c r="E11" s="138">
        <f t="shared" si="0"/>
        <v>0</v>
      </c>
      <c r="F11" s="242">
        <f t="shared" si="0"/>
        <v>0</v>
      </c>
      <c r="G11" s="243">
        <f t="shared" si="0"/>
        <v>0</v>
      </c>
      <c r="H11" s="138">
        <f t="shared" si="0"/>
        <v>0</v>
      </c>
      <c r="I11" s="242">
        <f t="shared" si="0"/>
        <v>0</v>
      </c>
      <c r="J11" s="243">
        <f t="shared" si="0"/>
        <v>0</v>
      </c>
      <c r="K11" s="138">
        <f t="shared" si="0"/>
        <v>0</v>
      </c>
      <c r="L11" s="139">
        <f t="shared" si="0"/>
        <v>0</v>
      </c>
      <c r="M11" s="140">
        <f t="shared" si="0"/>
        <v>0</v>
      </c>
      <c r="N11" s="138">
        <f t="shared" si="0"/>
        <v>0</v>
      </c>
      <c r="O11" s="139">
        <f t="shared" si="0"/>
        <v>0</v>
      </c>
      <c r="P11" s="140">
        <f t="shared" si="0"/>
        <v>0</v>
      </c>
    </row>
    <row r="12" spans="1:16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4" ht="12.75">
      <c r="A13" s="123" t="s">
        <v>107</v>
      </c>
      <c r="B13" s="122">
        <f>E11+H11+K11+N11</f>
        <v>0</v>
      </c>
      <c r="C13" s="74" t="s">
        <v>108</v>
      </c>
      <c r="D13" s="123"/>
      <c r="H13" s="122">
        <f>G11+J11+M11+P11</f>
        <v>0</v>
      </c>
      <c r="I13" s="74" t="s">
        <v>137</v>
      </c>
      <c r="N13" s="122">
        <f>F11+I11+L11+O11</f>
        <v>0</v>
      </c>
    </row>
    <row r="14" spans="1:14" ht="12.75">
      <c r="A14" s="124" t="s">
        <v>109</v>
      </c>
      <c r="B14" s="122">
        <f>B11</f>
        <v>0</v>
      </c>
      <c r="C14" s="74" t="s">
        <v>110</v>
      </c>
      <c r="D14" s="124"/>
      <c r="H14" s="122">
        <f>D11</f>
        <v>0</v>
      </c>
      <c r="I14" s="74" t="s">
        <v>138</v>
      </c>
      <c r="N14" s="122">
        <f>C11</f>
        <v>0</v>
      </c>
    </row>
    <row r="15" spans="1:18" ht="12.75">
      <c r="A15" s="338" t="s">
        <v>100</v>
      </c>
      <c r="B15" s="333" t="s">
        <v>101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1" t="s">
        <v>91</v>
      </c>
      <c r="R15" s="331" t="s">
        <v>92</v>
      </c>
    </row>
    <row r="16" spans="1:18" ht="12.75">
      <c r="A16" s="338"/>
      <c r="B16" s="47" t="s">
        <v>93</v>
      </c>
      <c r="C16" s="47" t="s">
        <v>135</v>
      </c>
      <c r="D16" s="47" t="s">
        <v>94</v>
      </c>
      <c r="E16" s="47" t="s">
        <v>95</v>
      </c>
      <c r="F16" s="47" t="s">
        <v>135</v>
      </c>
      <c r="G16" s="47" t="s">
        <v>94</v>
      </c>
      <c r="H16" s="47" t="s">
        <v>96</v>
      </c>
      <c r="I16" s="47" t="s">
        <v>135</v>
      </c>
      <c r="J16" s="47" t="s">
        <v>94</v>
      </c>
      <c r="K16" s="47" t="s">
        <v>97</v>
      </c>
      <c r="L16" s="47" t="s">
        <v>135</v>
      </c>
      <c r="M16" s="47" t="s">
        <v>94</v>
      </c>
      <c r="N16" s="47" t="s">
        <v>98</v>
      </c>
      <c r="O16" s="47" t="s">
        <v>135</v>
      </c>
      <c r="P16" s="47" t="s">
        <v>94</v>
      </c>
      <c r="Q16" s="331"/>
      <c r="R16" s="331"/>
    </row>
    <row r="17" spans="1:18" ht="13.5" customHeight="1">
      <c r="A17" s="45" t="s">
        <v>42</v>
      </c>
      <c r="B17" s="50">
        <f>COUNTIF('Журнал регистрации НК'!K$6:K$305,"Кемеровская область")</f>
        <v>0</v>
      </c>
      <c r="C17" s="50">
        <f>SUMIF('Журнал регистрации НК'!K$6:K$305,"Кемеровская область",'Журнал регистрации НК'!G$6:G$305)</f>
        <v>0</v>
      </c>
      <c r="D17" s="50">
        <f>SUMIF('Журнал регистрации НК'!K$6:K$305,"Кемеровская область",'Журнал регистрации НК'!H$6:H$305)</f>
        <v>0</v>
      </c>
      <c r="E17" s="50">
        <f>_xlfn.COUNTIFS('Журнал регистрации КС'!K$6:K$40,"Кемеровская обл*",'Журнал регистрации КС'!I$6:I$40,"1")+_xlfn.COUNTIFS('Журнал регистрации КС'!K$6:K$40,"Кемеровская обл*",'Журнал регистрации КС'!I$6:I$40,"1 с эл. 2 КС")</f>
        <v>0</v>
      </c>
      <c r="F17" s="54">
        <f>_xlfn.SUMIFS('Журнал регистрации КС'!G$6:G$40,'Журнал регистрации КС'!K$6:K$40,"Кемеровская обл*",'Журнал регистрации КС'!I$6:I$40,"1")+_xlfn.SUMIFS('Журнал регистрации КС'!G$6:G$40,'Журнал регистрации КС'!K$6:K$40,"Кемеровская обл*",'Журнал регистрации КС'!I$6:I$40,"1 с эл. 2 КС")</f>
        <v>0</v>
      </c>
      <c r="G17" s="54">
        <f>_xlfn.SUMIFS('Журнал регистрации КС'!H$6:H$40,'Журнал регистрации КС'!K$6:K$40,"Кемеровская обл*",'Журнал регистрации КС'!I$6:I$40,"1")+_xlfn.SUMIFS('Журнал регистрации КС'!H$6:H$40,'Журнал регистрации КС'!K$6:K$40,"Кемеровская обл*",'Журнал регистрации КС'!I$6:I$40,"1 с эл. 2 КС")</f>
        <v>0</v>
      </c>
      <c r="H17" s="50">
        <f>_xlfn.COUNTIFS('Журнал регистрации КС'!K$6:K$40,"Кемеровская обл*",'Журнал регистрации КС'!I$6:I$40,"2")+_xlfn.COUNTIFS('Журнал регистрации КС'!K$6:K$40,"Кемеровская обл*",'Журнал регистрации КС'!I$6:I$40,"2 с эл. 3 КС")</f>
        <v>0</v>
      </c>
      <c r="I17" s="54">
        <f>_xlfn.SUMIFS('Журнал регистрации КС'!G$6:G$40,'Журнал регистрации КС'!K$6:K$40,"Кемеровская обл*",'Журнал регистрации КС'!I$6:I$40,"2")+_xlfn.SUMIFS('Журнал регистрации КС'!H$6:H$40,'Журнал регистрации КС'!K$6:K$40,"Кемеровская обл*",'Журнал регистрации КС'!I$6:I$40,"2 с эл. 3 КС")</f>
        <v>0</v>
      </c>
      <c r="J17" s="54">
        <f>_xlfn.SUMIFS('Журнал регистрации КС'!H$6:H$40,'Журнал регистрации КС'!K$6:K$40,"Кемеровская обл*",'Журнал регистрации КС'!I$6:I$40,"2")+_xlfn.SUMIFS('Журнал регистрации КС'!H$6:H$40,'Журнал регистрации КС'!K$6:K$40,"Кемеровская обл*",'Журнал регистрации КС'!I$6:I$40,"2 с эл. 3 КС")</f>
        <v>0</v>
      </c>
      <c r="K17" s="50">
        <f>_xlfn.COUNTIFS('Журнал регистрации КС'!K$6:K$40,"Кемеровская обл*",'Журнал регистрации КС'!I$6:I$40,"3")</f>
        <v>0</v>
      </c>
      <c r="L17" s="50">
        <f>_xlfn.SUMIFS('Журнал регистрации КС'!G$6:G$40,'Журнал регистрации КС'!K$6:K$40,"Кемеровская обл*",'Журнал регистрации КС'!I$6:I$40,"3")</f>
        <v>0</v>
      </c>
      <c r="M17" s="50">
        <f>_xlfn.SUMIFS('Журнал регистрации КС'!H$6:H$40,'Журнал регистрации КС'!K$6:K$40,"Кемеровская обл*",'Журнал регистрации КС'!I$6:I$40,"3")</f>
        <v>0</v>
      </c>
      <c r="N17" s="50">
        <f>_xlfn.COUNTIFS('Журнал регистрации КС'!K$6:K$40,"Кемеровская обл*",'Журнал регистрации КС'!I$6:I$40,"4")</f>
        <v>0</v>
      </c>
      <c r="O17" s="50">
        <f>_xlfn.SUMIFS('Журнал регистрации КС'!G$6:G$40,'Журнал регистрации КС'!K$6:K$40,"Кемеровская обл*",'Журнал регистрации КС'!I$6:I$40,"4")</f>
        <v>0</v>
      </c>
      <c r="P17" s="50">
        <f>_xlfn.SUMIFS('Журнал регистрации КС'!H$6:H$40,'Журнал регистрации КС'!K$6:K$40,"Кемеровская обл*",'Журнал регистрации КС'!I$6:I$40,"4")</f>
        <v>0</v>
      </c>
      <c r="Q17" s="46">
        <f aca="true" t="shared" si="1" ref="Q17:Q48">B17+E17+H17+K17+N17</f>
        <v>0</v>
      </c>
      <c r="R17" s="112">
        <f>C17+D17+F17+G17+I17+J17+L17+M17+O17+P17</f>
        <v>0</v>
      </c>
    </row>
    <row r="18" spans="1:18" ht="13.5" customHeight="1">
      <c r="A18" s="45" t="s">
        <v>31</v>
      </c>
      <c r="B18" s="50">
        <f>COUNTIF('Журнал регистрации НК'!K$6:K$305,"Кузнецкий А*")</f>
        <v>0</v>
      </c>
      <c r="C18" s="50">
        <f>SUMIF('Журнал регистрации НК'!K$6:K$305,"Кузнецкий А*",'Журнал регистрации НК'!G$6:G$305)</f>
        <v>0</v>
      </c>
      <c r="D18" s="50">
        <f>SUMIF('Журнал регистрации НК'!K$6:K$305,"Кузнецкий А*",'Журнал регистрации НК'!H$6:H$305)</f>
        <v>0</v>
      </c>
      <c r="E18" s="50">
        <f>_xlfn.COUNTIFS('Журнал регистрации КС'!K$6:K$40,"Кузнецкий А*",'Журнал регистрации КС'!I$6:I$40,"1")+_xlfn.COUNTIFS('Журнал регистрации КС'!K$6:K$40,"Кузнецкий А*",'Журнал регистрации КС'!I$6:I$40,"1 с эл. 2 КС")</f>
        <v>0</v>
      </c>
      <c r="F18" s="54">
        <f>_xlfn.SUMIFS('Журнал регистрации КС'!G$6:G$40,'Журнал регистрации КС'!K$6:K$40,"Кузнецкий А*",'Журнал регистрации КС'!I$6:I$40,"1")+_xlfn.SUMIFS('Журнал регистрации КС'!G$6:G$40,'Журнал регистрации КС'!K$6:K$40,"Кузнецкий А*",'Журнал регистрации КС'!I$6:I$40,"1 с эл. 2 КС")</f>
        <v>0</v>
      </c>
      <c r="G18" s="54">
        <f>_xlfn.SUMIFS('Журнал регистрации КС'!H$6:H$40,'Журнал регистрации КС'!K$6:K$40,"Кузнецкий А*",'Журнал регистрации КС'!I$6:I$40,"1")+_xlfn.SUMIFS('Журнал регистрации КС'!H$6:H$40,'Журнал регистрации КС'!K$6:K$40,"Кузнецкий А*",'Журнал регистрации КС'!I$6:I$40,"1 с эл. 2 КС")</f>
        <v>0</v>
      </c>
      <c r="H18" s="50">
        <f>_xlfn.COUNTIFS('Журнал регистрации КС'!K$6:K$40,"Кузнецкий А*",'Журнал регистрации КС'!I$6:I$40,"2")+_xlfn.COUNTIFS('Журнал регистрации КС'!K$6:K$40,"Кузнецкий А*",'Журнал регистрации КС'!I$6:I$40,"2 с эл. 3 КС")</f>
        <v>0</v>
      </c>
      <c r="I18" s="54">
        <f>_xlfn.SUMIFS('Журнал регистрации КС'!G$6:G$40,'Журнал регистрации КС'!K$6:K$40,"Кузнецкий А*",'Журнал регистрации КС'!I$6:I$40,"2")+_xlfn.SUMIFS('Журнал регистрации КС'!H$6:H$40,'Журнал регистрации КС'!K$6:K$40,"Кузнецкий А*",'Журнал регистрации КС'!I$6:I$40,"2 с эл. 3 КС")</f>
        <v>0</v>
      </c>
      <c r="J18" s="54">
        <f>_xlfn.SUMIFS('Журнал регистрации КС'!H$6:H$40,'Журнал регистрации КС'!K$6:K$40,"Кузнецкий А*",'Журнал регистрации КС'!I$6:I$40,"2")+_xlfn.SUMIFS('Журнал регистрации КС'!H$6:H$40,'Журнал регистрации КС'!K$6:K$40,"Кузнецкий А*",'Журнал регистрации КС'!I$6:I$40,"2 с эл. 3 КС")</f>
        <v>0</v>
      </c>
      <c r="K18" s="50">
        <f>_xlfn.COUNTIFS('Журнал регистрации КС'!K$6:K$40,"Кузнецкий А*",'Журнал регистрации КС'!I$6:I$40,"3")</f>
        <v>0</v>
      </c>
      <c r="L18" s="50">
        <f>_xlfn.SUMIFS('Журнал регистрации КС'!G$6:G$40,'Журнал регистрации КС'!K$6:K$40,"Кузнецкий А*",'Журнал регистрации КС'!I$6:I$40,"3")</f>
        <v>0</v>
      </c>
      <c r="M18" s="50">
        <f>_xlfn.SUMIFS('Журнал регистрации КС'!H$6:H$40,'Журнал регистрации КС'!K$6:K$40,"Кузнецкий А*",'Журнал регистрации КС'!I$6:I$40,"3")</f>
        <v>0</v>
      </c>
      <c r="N18" s="50">
        <f>_xlfn.COUNTIFS('Журнал регистрации КС'!K$6:K$40,"Кузнецкий А*",'Журнал регистрации КС'!I$6:I$40,"4")</f>
        <v>0</v>
      </c>
      <c r="O18" s="50">
        <f>_xlfn.SUMIFS('Журнал регистрации КС'!G$6:G$40,'Журнал регистрации КС'!K$6:K$40,"Кузнецкий А*",'Журнал регистрации КС'!I$6:I$40,"4")</f>
        <v>0</v>
      </c>
      <c r="P18" s="50">
        <f>_xlfn.SUMIFS('Журнал регистрации КС'!H$6:H$40,'Журнал регистрации КС'!K$6:K$40,"Кузнецкий А*",'Журнал регистрации КС'!I$6:I$40,"4")</f>
        <v>0</v>
      </c>
      <c r="Q18" s="46">
        <f t="shared" si="1"/>
        <v>0</v>
      </c>
      <c r="R18" s="112">
        <f aca="true" t="shared" si="2" ref="R18:R71">C18+D18+F18+G18+I18+J18+L18+M18+O18+P18</f>
        <v>0</v>
      </c>
    </row>
    <row r="19" spans="1:18" ht="13.5" customHeight="1">
      <c r="A19" s="45" t="s">
        <v>33</v>
      </c>
      <c r="B19" s="50">
        <f>COUNTIF('Журнал регистрации НК'!K$6:K$305,"Салаирский к*")</f>
        <v>0</v>
      </c>
      <c r="C19" s="50">
        <f>SUMIF('Журнал регистрации НК'!K$6:K$305,"Салаирский к*",'Журнал регистрации НК'!G$6:G$305)</f>
        <v>0</v>
      </c>
      <c r="D19" s="50">
        <f>SUMIF('Журнал регистрации НК'!K$6:K$305,"Салаирский к*",'Журнал регистрации НК'!H$6:H$305)</f>
        <v>0</v>
      </c>
      <c r="E19" s="50">
        <f>_xlfn.COUNTIFS('Журнал регистрации КС'!K$6:K$40,"Салаирский к*",'Журнал регистрации КС'!I$6:I$40,"1")+_xlfn.COUNTIFS('Журнал регистрации КС'!K$6:K$40,"Салаирский к*",'Журнал регистрации КС'!I$6:I$40,"1 с эл. 2 КС")</f>
        <v>0</v>
      </c>
      <c r="F19" s="54">
        <f>_xlfn.SUMIFS('Журнал регистрации КС'!G$6:G$40,'Журнал регистрации КС'!K$6:K$40,"Салаирский к*",'Журнал регистрации КС'!I$6:I$40,"1")+_xlfn.SUMIFS('Журнал регистрации КС'!G$6:G$40,'Журнал регистрации КС'!K$6:K$40,"Салаирский к*",'Журнал регистрации КС'!I$6:I$40,"1 с эл. 2 КС")</f>
        <v>0</v>
      </c>
      <c r="G19" s="54">
        <f>_xlfn.SUMIFS('Журнал регистрации КС'!H$6:H$40,'Журнал регистрации КС'!K$6:K$40,"Салаирский к*",'Журнал регистрации КС'!I$6:I$40,"1")+_xlfn.SUMIFS('Журнал регистрации КС'!H$6:H$40,'Журнал регистрации КС'!K$6:K$40,"Салаирский к*",'Журнал регистрации КС'!I$6:I$40,"1 с эл. 2 КС")</f>
        <v>0</v>
      </c>
      <c r="H19" s="50">
        <f>_xlfn.COUNTIFS('Журнал регистрации КС'!K$6:K$40,"Салаирский к*",'Журнал регистрации КС'!I$6:I$40,"2")+_xlfn.COUNTIFS('Журнал регистрации КС'!K$6:K$40,"Салаирский к*",'Журнал регистрации КС'!I$6:I$40,"2 с эл. 3 КС")</f>
        <v>0</v>
      </c>
      <c r="I19" s="54">
        <f>_xlfn.SUMIFS('Журнал регистрации КС'!G$6:G$40,'Журнал регистрации КС'!K$6:K$40,"Салаирский к*",'Журнал регистрации КС'!I$6:I$40,"2")+_xlfn.SUMIFS('Журнал регистрации КС'!H$6:H$40,'Журнал регистрации КС'!K$6:K$40,"Салаирский к*",'Журнал регистрации КС'!I$6:I$40,"2 с эл. 3 КС")</f>
        <v>0</v>
      </c>
      <c r="J19" s="54">
        <f>_xlfn.SUMIFS('Журнал регистрации КС'!H$6:H$40,'Журнал регистрации КС'!K$6:K$40,"Салаирский к*",'Журнал регистрации КС'!I$6:I$40,"2")+_xlfn.SUMIFS('Журнал регистрации КС'!H$6:H$40,'Журнал регистрации КС'!K$6:K$40,"Салаирский к*",'Журнал регистрации КС'!I$6:I$40,"2 с эл. 3 КС")</f>
        <v>0</v>
      </c>
      <c r="K19" s="50">
        <f>_xlfn.COUNTIFS('Журнал регистрации КС'!K$6:K$40,"Салаирский к*",'Журнал регистрации КС'!I$6:I$40,"3")</f>
        <v>0</v>
      </c>
      <c r="L19" s="50">
        <f>_xlfn.SUMIFS('Журнал регистрации КС'!G$6:G$40,'Журнал регистрации КС'!K$6:K$40,"Салаирский к*",'Журнал регистрации КС'!I$6:I$40,"3")</f>
        <v>0</v>
      </c>
      <c r="M19" s="50">
        <f>_xlfn.SUMIFS('Журнал регистрации КС'!H$6:H$40,'Журнал регистрации КС'!K$6:K$40,"Салаирский к*",'Журнал регистрации КС'!I$6:I$40,"3")</f>
        <v>0</v>
      </c>
      <c r="N19" s="50">
        <f>_xlfn.COUNTIFS('Журнал регистрации КС'!K$6:K$40,"Салаирский к*",'Журнал регистрации КС'!I$6:I$40,"4")</f>
        <v>0</v>
      </c>
      <c r="O19" s="50">
        <f>_xlfn.SUMIFS('Журнал регистрации КС'!G$6:G$40,'Журнал регистрации КС'!K$6:K$40,"Салаирский к*",'Журнал регистрации КС'!I$6:I$40,"4")</f>
        <v>0</v>
      </c>
      <c r="P19" s="50">
        <f>_xlfn.SUMIFS('Журнал регистрации КС'!H$6:H$40,'Журнал регистрации КС'!K$6:K$40,"Салаирский к*",'Журнал регистрации КС'!I$6:I$40,"4")</f>
        <v>0</v>
      </c>
      <c r="Q19" s="46">
        <f t="shared" si="1"/>
        <v>0</v>
      </c>
      <c r="R19" s="112">
        <f t="shared" si="2"/>
        <v>0</v>
      </c>
    </row>
    <row r="20" spans="1:18" ht="13.5" customHeight="1">
      <c r="A20" s="45" t="s">
        <v>32</v>
      </c>
      <c r="B20" s="50">
        <f>COUNTIF('Журнал регистрации НК'!K$6:K$305,"Горная Ш*")</f>
        <v>0</v>
      </c>
      <c r="C20" s="50">
        <f>SUMIF('Журнал регистрации НК'!K$6:K$305,"Горная Ш*",'Журнал регистрации НК'!G$6:G$305)</f>
        <v>0</v>
      </c>
      <c r="D20" s="50">
        <f>SUMIF('Журнал регистрации НК'!K$6:K$305,"Горная Ш*",'Журнал регистрации НК'!H$6:H$305)</f>
        <v>0</v>
      </c>
      <c r="E20" s="50">
        <f>_xlfn.COUNTIFS('Журнал регистрации КС'!K$6:K$40,"Горная Ш*",'Журнал регистрации КС'!I$6:I$40,"1")+_xlfn.COUNTIFS('Журнал регистрации КС'!K$6:K$40,"Горная Ш*",'Журнал регистрации КС'!I$6:I$40,"1 с эл. 2 КС")</f>
        <v>0</v>
      </c>
      <c r="F20" s="54">
        <f>_xlfn.SUMIFS('Журнал регистрации КС'!G$6:G$40,'Журнал регистрации КС'!K$6:K$40,"Горная Ш*",'Журнал регистрации КС'!I$6:I$40,"1")+_xlfn.SUMIFS('Журнал регистрации КС'!H$6:H$40,'Журнал регистрации КС'!K$6:K$40,"Горная Ш*",'Журнал регистрации КС'!I$6:I$40,"1 с эл. 2 КС")</f>
        <v>0</v>
      </c>
      <c r="G20" s="54">
        <f>_xlfn.SUMIFS('Журнал регистрации КС'!H$6:H$40,'Журнал регистрации КС'!K$6:K$40,"Горная Ш*",'Журнал регистрации КС'!I$6:I$40,"1")+_xlfn.SUMIFS('Журнал регистрации КС'!H$6:H$40,'Журнал регистрации КС'!K$6:K$40,"Горная Ш*",'Журнал регистрации КС'!I$6:I$40,"1 с эл. 2 КС")</f>
        <v>0</v>
      </c>
      <c r="H20" s="50">
        <f>_xlfn.COUNTIFS('Журнал регистрации КС'!K$6:K$40,"Горная Ш*",'Журнал регистрации КС'!I$6:I$40,"2")+_xlfn.COUNTIFS('Журнал регистрации КС'!K$6:K$40,"Горная Ш*",'Журнал регистрации КС'!I$6:I$40,"2 с эл. 3 КС")</f>
        <v>0</v>
      </c>
      <c r="I20" s="54">
        <f>_xlfn.SUMIFS('Журнал регистрации КС'!G$6:G$40,'Журнал регистрации КС'!K$6:K$40,"Горная Ш*",'Журнал регистрации КС'!I$6:I$40,"2")+_xlfn.SUMIFS('Журнал регистрации КС'!H$6:H$40,'Журнал регистрации КС'!K$6:K$40,"Горная Ш*",'Журнал регистрации КС'!I$6:I$40,"2 с эл. 3 КС")</f>
        <v>0</v>
      </c>
      <c r="J20" s="54">
        <f>_xlfn.SUMIFS('Журнал регистрации КС'!H$6:H$40,'Журнал регистрации КС'!K$6:K$40,"Горная Ш*",'Журнал регистрации КС'!I$6:I$40,"2")+_xlfn.SUMIFS('Журнал регистрации КС'!H$6:H$40,'Журнал регистрации КС'!K$6:K$40,"Горная Ш*",'Журнал регистрации КС'!I$6:I$40,"2 с эл. 3 КС")</f>
        <v>0</v>
      </c>
      <c r="K20" s="50">
        <f>_xlfn.COUNTIFS('Журнал регистрации КС'!K$6:K$40,"Горная Ш*",'Журнал регистрации КС'!I$6:I$40,"3")</f>
        <v>0</v>
      </c>
      <c r="L20" s="50">
        <f>_xlfn.SUMIFS('Журнал регистрации КС'!G$6:G$40,'Журнал регистрации КС'!K$6:K$40,"Горная Ш*",'Журнал регистрации КС'!I$6:I$40,"3")</f>
        <v>0</v>
      </c>
      <c r="M20" s="50">
        <f>_xlfn.SUMIFS('Журнал регистрации КС'!H$6:H$40,'Журнал регистрации КС'!K$6:K$40,"Горная Ш*",'Журнал регистрации КС'!I$6:I$40,"3")</f>
        <v>0</v>
      </c>
      <c r="N20" s="50">
        <f>_xlfn.COUNTIFS('Журнал регистрации КС'!K$6:K$40,"Горная Ш*",'Журнал регистрации КС'!I$6:I$40,"4")</f>
        <v>0</v>
      </c>
      <c r="O20" s="50">
        <f>_xlfn.SUMIFS('Журнал регистрации КС'!G$6:G$40,'Журнал регистрации КС'!K$6:K$40,"Горная Ш*",'Журнал регистрации КС'!I$6:I$40,"4")</f>
        <v>0</v>
      </c>
      <c r="P20" s="50">
        <f>_xlfn.SUMIFS('Журнал регистрации КС'!H$6:H$40,'Журнал регистрации КС'!K$6:K$40,"Горная Ш*",'Журнал регистрации КС'!I$6:I$40,"4")</f>
        <v>0</v>
      </c>
      <c r="Q20" s="46">
        <f t="shared" si="1"/>
        <v>0</v>
      </c>
      <c r="R20" s="112">
        <f t="shared" si="2"/>
        <v>0</v>
      </c>
    </row>
    <row r="21" spans="1:18" ht="13.5" customHeight="1">
      <c r="A21" s="45" t="s">
        <v>63</v>
      </c>
      <c r="B21" s="50">
        <f>COUNTIF('Журнал регистрации НК'!K$6:K$305,"Алтай (гор*")</f>
        <v>0</v>
      </c>
      <c r="C21" s="50">
        <f>SUMIF('Журнал регистрации НК'!K$6:K$305,"Алтай (гор*",'Журнал регистрации НК'!G$6:G$305)</f>
        <v>0</v>
      </c>
      <c r="D21" s="50">
        <f>SUMIF('Журнал регистрации НК'!K$6:K$305,"Алтай (гор*",'Журнал регистрации НК'!H$6:H$305)</f>
        <v>0</v>
      </c>
      <c r="E21" s="50">
        <f>_xlfn.COUNTIFS('Журнал регистрации КС'!K$6:K$40,"Алтай (гор*",'Журнал регистрации КС'!I$6:I$40,"1")+_xlfn.COUNTIFS('Журнал регистрации КС'!K$6:K$40,"Алтай (гор*",'Журнал регистрации КС'!I$6:I$40,"1 с эл. 2 КС")</f>
        <v>0</v>
      </c>
      <c r="F21" s="54">
        <f>_xlfn.SUMIFS('Журнал регистрации КС'!G$6:G$40,'Журнал регистрации КС'!K$6:K$40,"Алтай (гор*",'Журнал регистрации КС'!I$6:I$40,"1")+_xlfn.SUMIFS('Журнал регистрации КС'!G$6:G$40,'Журнал регистрации КС'!K$6:K$40,"Алтай (гор*",'Журнал регистрации КС'!I$6:I$40,"1 с эл. 2 КС")</f>
        <v>0</v>
      </c>
      <c r="G21" s="54">
        <f>_xlfn.SUMIFS('Журнал регистрации КС'!H$6:H$40,'Журнал регистрации КС'!K$6:K$40,"Алтай (гор*",'Журнал регистрации КС'!I$6:I$40,"1")+_xlfn.SUMIFS('Журнал регистрации КС'!H$6:H$40,'Журнал регистрации КС'!K$6:K$40,"Алтай (гор*",'Журнал регистрации КС'!I$6:I$40,"1 с эл. 2 КС")</f>
        <v>0</v>
      </c>
      <c r="H21" s="50">
        <f>_xlfn.COUNTIFS('Журнал регистрации КС'!K$6:K$40,"Алтай (гор*",'Журнал регистрации КС'!I$6:I$40,"2")+_xlfn.COUNTIFS('Журнал регистрации КС'!K$6:K$40,"Алтай (гор*",'Журнал регистрации КС'!I$6:I$40,"2 с эл. 3 КС")</f>
        <v>0</v>
      </c>
      <c r="I21" s="54">
        <f>_xlfn.SUMIFS('Журнал регистрации КС'!G$6:G$40,'Журнал регистрации КС'!K$6:K$40,"Алтай (гор*",'Журнал регистрации КС'!I$6:I$40,"2")+_xlfn.SUMIFS('Журнал регистрации КС'!H$6:H$40,'Журнал регистрации КС'!K$6:K$40,"Алтай (гор*",'Журнал регистрации КС'!I$6:I$40,"2 с эл. 3 КС")</f>
        <v>0</v>
      </c>
      <c r="J21" s="54">
        <f>_xlfn.SUMIFS('Журнал регистрации КС'!H$6:H$40,'Журнал регистрации КС'!K$6:K$40,"Алтай (гор*",'Журнал регистрации КС'!I$6:I$40,"2")+_xlfn.SUMIFS('Журнал регистрации КС'!H$6:H$40,'Журнал регистрации КС'!K$6:K$40,"Алтай (гор*",'Журнал регистрации КС'!I$6:I$40,"2 с эл. 3 КС")</f>
        <v>0</v>
      </c>
      <c r="K21" s="50">
        <f>_xlfn.COUNTIFS('Журнал регистрации КС'!K$6:K$40,"Алтай (гор*",'Журнал регистрации КС'!I$6:I$40,"3")</f>
        <v>0</v>
      </c>
      <c r="L21" s="50">
        <f>_xlfn.SUMIFS('Журнал регистрации КС'!G$6:G$40,'Журнал регистрации КС'!K$6:K$40,"Алтай (гор*",'Журнал регистрации КС'!I$6:I$40,"3")</f>
        <v>0</v>
      </c>
      <c r="M21" s="50">
        <f>_xlfn.SUMIFS('Журнал регистрации КС'!H$6:H$40,'Журнал регистрации КС'!K$6:K$40,"Алтай (гор*",'Журнал регистрации КС'!I$6:I$40,"3")</f>
        <v>0</v>
      </c>
      <c r="N21" s="50">
        <f>_xlfn.COUNTIFS('Журнал регистрации КС'!K$6:K$40,"Алтай (гор*",'Журнал регистрации КС'!I$6:I$40,"4")</f>
        <v>0</v>
      </c>
      <c r="O21" s="50">
        <f>_xlfn.SUMIFS('Журнал регистрации КС'!G$6:G$40,'Журнал регистрации КС'!K$6:K$40,"Алтай (гор*",'Журнал регистрации КС'!I$6:I$40,"4")</f>
        <v>0</v>
      </c>
      <c r="P21" s="50">
        <f>_xlfn.SUMIFS('Журнал регистрации КС'!H$6:H$40,'Журнал регистрации КС'!K$6:K$40,"Алтай (гор*",'Журнал регистрации КС'!I$6:I$40,"4")</f>
        <v>0</v>
      </c>
      <c r="Q21" s="46">
        <f t="shared" si="1"/>
        <v>0</v>
      </c>
      <c r="R21" s="112">
        <f t="shared" si="2"/>
        <v>0</v>
      </c>
    </row>
    <row r="22" spans="1:18" ht="13.5" customHeight="1">
      <c r="A22" s="45" t="s">
        <v>64</v>
      </c>
      <c r="B22" s="50">
        <f>COUNTIF('Журнал регистрации НК'!K$6:K$305,"Алтай (др*")</f>
        <v>0</v>
      </c>
      <c r="C22" s="50">
        <f>SUMIF('Журнал регистрации НК'!K$6:K$305,"Алтай (др*",'Журнал регистрации НК'!G$6:G$305)</f>
        <v>0</v>
      </c>
      <c r="D22" s="50">
        <f>SUMIF('Журнал регистрации НК'!K$6:K$305,"Алтай (др*",'Журнал регистрации НК'!H$6:H$305)</f>
        <v>0</v>
      </c>
      <c r="E22" s="50">
        <f>_xlfn.COUNTIFS('Журнал регистрации КС'!K$6:K$40,"Алтай (др*",'Журнал регистрации КС'!I$6:I$40,"1")+_xlfn.COUNTIFS('Журнал регистрации КС'!K$6:K$40,"Алтай (др*",'Журнал регистрации КС'!I$6:I$40,"1 с эл. 2 КС")</f>
        <v>0</v>
      </c>
      <c r="F22" s="54">
        <f>_xlfn.SUMIFS('Журнал регистрации КС'!G$6:G$40,'Журнал регистрации КС'!K$6:K$40,"Алтай (др*",'Журнал регистрации КС'!I$6:I$40,"1")+_xlfn.SUMIFS('Журнал регистрации КС'!G$6:G$40,'Журнал регистрации КС'!K$6:K$40,"Алтай (др*",'Журнал регистрации КС'!I$6:I$40,"1 с эл. 2 КС")</f>
        <v>0</v>
      </c>
      <c r="G22" s="54">
        <f>_xlfn.SUMIFS('Журнал регистрации КС'!H$6:H$40,'Журнал регистрации КС'!K$6:K$40,"Алтай (др*",'Журнал регистрации КС'!I$6:I$40,"1")+_xlfn.SUMIFS('Журнал регистрации КС'!H$6:H$40,'Журнал регистрации КС'!K$6:K$40,"Алтай (др*",'Журнал регистрации КС'!I$6:I$40,"1 с эл. 2 КС")</f>
        <v>0</v>
      </c>
      <c r="H22" s="50">
        <f>_xlfn.COUNTIFS('Журнал регистрации КС'!K$6:K$40,"Алтай (др*",'Журнал регистрации КС'!I$6:I$40,"2")+_xlfn.COUNTIFS('Журнал регистрации КС'!K$6:K$40,"Алтай (др*",'Журнал регистрации КС'!I$6:I$40,"2 с эл. 3 КС")</f>
        <v>0</v>
      </c>
      <c r="I22" s="54">
        <f>_xlfn.SUMIFS('Журнал регистрации КС'!G$6:G$40,'Журнал регистрации КС'!K$6:K$40,"Алтай (др*",'Журнал регистрации КС'!I$6:I$40,"2")+_xlfn.SUMIFS('Журнал регистрации КС'!H$6:H$40,'Журнал регистрации КС'!K$6:K$40,"Алтай (др*",'Журнал регистрации КС'!I$6:I$40,"2 с эл. 3 КС")</f>
        <v>0</v>
      </c>
      <c r="J22" s="54">
        <f>_xlfn.SUMIFS('Журнал регистрации КС'!H$6:H$40,'Журнал регистрации КС'!K$6:K$40,"Алтай (др*",'Журнал регистрации КС'!I$6:I$40,"2")+_xlfn.SUMIFS('Журнал регистрации КС'!H$6:H$40,'Журнал регистрации КС'!K$6:K$40,"Алтай (др*",'Журнал регистрации КС'!I$6:I$40,"2 с эл. 3 КС")</f>
        <v>0</v>
      </c>
      <c r="K22" s="50">
        <f>_xlfn.COUNTIFS('Журнал регистрации КС'!K$6:K$40,"Алтай (др*",'Журнал регистрации КС'!I$6:I$40,"3")</f>
        <v>0</v>
      </c>
      <c r="L22" s="50">
        <f>_xlfn.SUMIFS('Журнал регистрации КС'!G$6:G$40,'Журнал регистрации КС'!K$6:K$40,"Алтай (др*",'Журнал регистрации КС'!I$6:I$40,"3")</f>
        <v>0</v>
      </c>
      <c r="M22" s="50">
        <f>_xlfn.SUMIFS('Журнал регистрации КС'!H$6:H$40,'Журнал регистрации КС'!K$6:K$40,"Алтай (др*",'Журнал регистрации КС'!I$6:I$40,"3")</f>
        <v>0</v>
      </c>
      <c r="N22" s="50">
        <f>_xlfn.COUNTIFS('Журнал регистрации КС'!K$6:K$40,"Алтай (др*",'Журнал регистрации КС'!I$6:I$40,"4")</f>
        <v>0</v>
      </c>
      <c r="O22" s="50">
        <f>_xlfn.SUMIFS('Журнал регистрации КС'!G$6:G$40,'Журнал регистрации КС'!K$6:K$40,"Алтай (др*",'Журнал регистрации КС'!I$6:I$40,"4")</f>
        <v>0</v>
      </c>
      <c r="P22" s="50">
        <f>_xlfn.SUMIFS('Журнал регистрации КС'!H$6:H$40,'Журнал регистрации КС'!K$6:K$40,"Алтай (др*",'Журнал регистрации КС'!I$6:I$40,"4")</f>
        <v>0</v>
      </c>
      <c r="Q22" s="46">
        <f t="shared" si="1"/>
        <v>0</v>
      </c>
      <c r="R22" s="112">
        <f t="shared" si="2"/>
        <v>0</v>
      </c>
    </row>
    <row r="23" spans="1:18" ht="13.5" customHeight="1">
      <c r="A23" s="45" t="s">
        <v>24</v>
      </c>
      <c r="B23" s="50">
        <f>COUNTIF('Журнал регистрации НК'!K$6:K$305,"Архангельск*")</f>
        <v>0</v>
      </c>
      <c r="C23" s="50">
        <f>SUMIF('Журнал регистрации НК'!K$6:K$305,"Архангельск*",'Журнал регистрации НК'!G$6:G$305)</f>
        <v>0</v>
      </c>
      <c r="D23" s="50">
        <f>SUMIF('Журнал регистрации НК'!K$6:K$305,"Архангельск*",'Журнал регистрации НК'!H$6:H$305)</f>
        <v>0</v>
      </c>
      <c r="E23" s="50">
        <f>_xlfn.COUNTIFS('Журнал регистрации КС'!K$6:K$40,"Архангельск*",'Журнал регистрации КС'!I$6:I$40,"1")+_xlfn.COUNTIFS('Журнал регистрации КС'!K$6:K$40,"Архангельск*",'Журнал регистрации КС'!I$6:I$40,"1 с эл. 2 КС")</f>
        <v>0</v>
      </c>
      <c r="F23" s="54">
        <f>_xlfn.SUMIFS('Журнал регистрации КС'!G$6:G$40,'Журнал регистрации КС'!K$6:K$40,"Архангельск*",'Журнал регистрации КС'!I$6:I$40,"1")+_xlfn.SUMIFS('Журнал регистрации КС'!G$6:G$40,'Журнал регистрации КС'!K$6:K$40,"Архангельск*",'Журнал регистрации КС'!I$6:I$40,"1 с эл. 2 КС")</f>
        <v>0</v>
      </c>
      <c r="G23" s="54">
        <f>_xlfn.SUMIFS('Журнал регистрации КС'!H$6:H$40,'Журнал регистрации КС'!K$6:K$40,"Архангельск*",'Журнал регистрации КС'!I$6:I$40,"1")+_xlfn.SUMIFS('Журнал регистрации КС'!H$6:H$40,'Журнал регистрации КС'!K$6:K$40,"Архангельск*",'Журнал регистрации КС'!I$6:I$40,"1 с эл. 2 КС")</f>
        <v>0</v>
      </c>
      <c r="H23" s="50">
        <f>_xlfn.COUNTIFS('Журнал регистрации КС'!K$6:K$40,"Архангельск*",'Журнал регистрации КС'!I$6:I$40,"2")+_xlfn.COUNTIFS('Журнал регистрации КС'!K$6:K$40,"Архангельск*",'Журнал регистрации КС'!I$6:I$40,"2 с эл. 3 КС")</f>
        <v>0</v>
      </c>
      <c r="I23" s="54">
        <f>_xlfn.SUMIFS('Журнал регистрации КС'!G$6:G$40,'Журнал регистрации КС'!K$6:K$40,"Архангельск*",'Журнал регистрации КС'!I$6:I$40,"2")+_xlfn.SUMIFS('Журнал регистрации КС'!H$6:H$40,'Журнал регистрации КС'!K$6:K$40,"Архангельск*",'Журнал регистрации КС'!I$6:I$40,"2 с эл. 3 КС")</f>
        <v>0</v>
      </c>
      <c r="J23" s="54">
        <f>_xlfn.SUMIFS('Журнал регистрации КС'!H$6:H$40,'Журнал регистрации КС'!K$6:K$40,"Архангельск*",'Журнал регистрации КС'!I$6:I$40,"2")+_xlfn.SUMIFS('Журнал регистрации КС'!H$6:H$40,'Журнал регистрации КС'!K$6:K$40,"Архангельск*",'Журнал регистрации КС'!I$6:I$40,"2 с эл. 3 КС")</f>
        <v>0</v>
      </c>
      <c r="K23" s="50">
        <f>_xlfn.COUNTIFS('Журнал регистрации КС'!K$6:K$40,"Архангельск*",'Журнал регистрации КС'!I$6:I$40,"3")</f>
        <v>0</v>
      </c>
      <c r="L23" s="50">
        <f>_xlfn.SUMIFS('Журнал регистрации КС'!G$6:G$40,'Журнал регистрации КС'!K$6:K$40,"Архангельск*",'Журнал регистрации КС'!I$6:I$40,"3")</f>
        <v>0</v>
      </c>
      <c r="M23" s="50">
        <f>_xlfn.SUMIFS('Журнал регистрации КС'!H$6:H$40,'Журнал регистрации КС'!K$6:K$40,"Архангельск*",'Журнал регистрации КС'!I$6:I$40,"3")</f>
        <v>0</v>
      </c>
      <c r="N23" s="50">
        <f>_xlfn.COUNTIFS('Журнал регистрации КС'!K$6:K$40,"Архангельск*",'Журнал регистрации КС'!I$6:I$40,"4")</f>
        <v>0</v>
      </c>
      <c r="O23" s="50">
        <f>_xlfn.SUMIFS('Журнал регистрации КС'!G$6:G$40,'Журнал регистрации КС'!K$6:K$40,"Архангельск*",'Журнал регистрации КС'!I$6:I$40,"4")</f>
        <v>0</v>
      </c>
      <c r="P23" s="50">
        <f>_xlfn.SUMIFS('Журнал регистрации КС'!H$6:H$40,'Журнал регистрации КС'!K$6:K$40,"Архангельск*",'Журнал регистрации КС'!I$6:I$40,"4")</f>
        <v>0</v>
      </c>
      <c r="Q23" s="46">
        <f t="shared" si="1"/>
        <v>0</v>
      </c>
      <c r="R23" s="112">
        <f t="shared" si="2"/>
        <v>0</v>
      </c>
    </row>
    <row r="24" spans="1:18" ht="13.5" customHeight="1">
      <c r="A24" s="45" t="s">
        <v>36</v>
      </c>
      <c r="B24" s="50">
        <f>COUNTIF('Журнал регистрации НК'!K$6:K$305,"Верхоян*")</f>
        <v>0</v>
      </c>
      <c r="C24" s="50">
        <f>SUMIF('Журнал регистрации НК'!K$6:K$305,"Верхоян*",'Журнал регистрации НК'!G$6:G$305)</f>
        <v>0</v>
      </c>
      <c r="D24" s="50">
        <f>SUMIF('Журнал регистрации НК'!K$6:K$305,"Верхоян*",'Журнал регистрации НК'!H$6:H$305)</f>
        <v>0</v>
      </c>
      <c r="E24" s="50">
        <f>_xlfn.COUNTIFS('Журнал регистрации КС'!K$6:K$40,"Верхоян*",'Журнал регистрации КС'!I$6:I$40,"1")+_xlfn.COUNTIFS('Журнал регистрации КС'!K$6:K$40,"Верхоян*",'Журнал регистрации КС'!I$6:I$40,"1 с эл. 2 КС")</f>
        <v>0</v>
      </c>
      <c r="F24" s="54">
        <f>_xlfn.SUMIFS('Журнал регистрации КС'!G$6:G$40,'Журнал регистрации КС'!K$6:K$40,"Верхоян*",'Журнал регистрации КС'!I$6:I$40,"1")+_xlfn.SUMIFS('Журнал регистрации КС'!G$6:G$40,'Журнал регистрации КС'!K$6:K$40,"Верхоян*",'Журнал регистрации КС'!I$6:I$40,"1 с эл. 2 КС")</f>
        <v>0</v>
      </c>
      <c r="G24" s="54">
        <f>_xlfn.SUMIFS('Журнал регистрации КС'!H$6:H$40,'Журнал регистрации КС'!K$6:K$40,"Верхоян*",'Журнал регистрации КС'!I$6:I$40,"1")+_xlfn.SUMIFS('Журнал регистрации КС'!H$6:H$40,'Журнал регистрации КС'!K$6:K$40,"Верхоян*",'Журнал регистрации КС'!I$6:I$40,"1 с эл. 2 КС")</f>
        <v>0</v>
      </c>
      <c r="H24" s="50">
        <f>_xlfn.COUNTIFS('Журнал регистрации КС'!K$6:K$40,"Верхоян*",'Журнал регистрации КС'!I$6:I$40,"2")+_xlfn.COUNTIFS('Журнал регистрации КС'!K$6:K$40,"Верхоян*",'Журнал регистрации КС'!I$6:I$40,"2 с эл. 3 КС")</f>
        <v>0</v>
      </c>
      <c r="I24" s="54">
        <f>_xlfn.SUMIFS('Журнал регистрации КС'!G$6:G$40,'Журнал регистрации КС'!K$6:K$40,"Верхоян*",'Журнал регистрации КС'!I$6:I$40,"2")+_xlfn.SUMIFS('Журнал регистрации КС'!H$6:H$40,'Журнал регистрации КС'!K$6:K$40,"Верхоян*",'Журнал регистрации КС'!I$6:I$40,"2 с эл. 3 КС")</f>
        <v>0</v>
      </c>
      <c r="J24" s="54">
        <f>_xlfn.SUMIFS('Журнал регистрации КС'!H$6:H$40,'Журнал регистрации КС'!K$6:K$40,"Верхоян*",'Журнал регистрации КС'!I$6:I$40,"2")+_xlfn.SUMIFS('Журнал регистрации КС'!H$6:H$40,'Журнал регистрации КС'!K$6:K$40,"Верхоян*",'Журнал регистрации КС'!I$6:I$40,"2 с эл. 3 КС")</f>
        <v>0</v>
      </c>
      <c r="K24" s="50">
        <f>_xlfn.COUNTIFS('Журнал регистрации КС'!K$6:K$40,"Верхоян*",'Журнал регистрации КС'!I$6:I$40,"3")</f>
        <v>0</v>
      </c>
      <c r="L24" s="50">
        <f>_xlfn.SUMIFS('Журнал регистрации КС'!G$6:G$40,'Журнал регистрации КС'!K$6:K$40,"Верхоян*",'Журнал регистрации КС'!I$6:I$40,"3")</f>
        <v>0</v>
      </c>
      <c r="M24" s="50">
        <f>_xlfn.SUMIFS('Журнал регистрации КС'!H$6:H$40,'Журнал регистрации КС'!K$6:K$40,"Верхоян*",'Журнал регистрации КС'!I$6:I$40,"3")</f>
        <v>0</v>
      </c>
      <c r="N24" s="50">
        <f>_xlfn.COUNTIFS('Журнал регистрации КС'!K$6:K$40,"Верхоян*",'Журнал регистрации КС'!I$6:I$40,"4")</f>
        <v>0</v>
      </c>
      <c r="O24" s="50">
        <f>_xlfn.SUMIFS('Журнал регистрации КС'!G$6:G$40,'Журнал регистрации КС'!K$6:K$40,"Верхоян*",'Журнал регистрации КС'!I$6:I$40,"4")</f>
        <v>0</v>
      </c>
      <c r="P24" s="50">
        <f>_xlfn.SUMIFS('Журнал регистрации КС'!H$6:H$40,'Журнал регистрации КС'!K$6:K$40,"Верхоян*",'Журнал регистрации КС'!I$6:I$40,"4")</f>
        <v>0</v>
      </c>
      <c r="Q24" s="46">
        <f t="shared" si="1"/>
        <v>0</v>
      </c>
      <c r="R24" s="112">
        <f t="shared" si="2"/>
        <v>0</v>
      </c>
    </row>
    <row r="25" spans="1:18" ht="13.5" customHeight="1">
      <c r="A25" s="45" t="s">
        <v>55</v>
      </c>
      <c r="B25" s="50">
        <f>COUNTIF('Журнал регистрации НК'!K$6:K$305,"Восточно-Е*(север)")</f>
        <v>0</v>
      </c>
      <c r="C25" s="50">
        <f>SUMIF('Журнал регистрации НК'!K$6:K$305,"Восточно-Е*(север)",'Журнал регистрации НК'!G$6:G$305)</f>
        <v>0</v>
      </c>
      <c r="D25" s="50">
        <f>SUMIF('Журнал регистрации НК'!K$6:K$305,"Восточно-Е*(север)",'Журнал регистрации НК'!H$6:H$305)</f>
        <v>0</v>
      </c>
      <c r="E25" s="50">
        <f>_xlfn.COUNTIFS('Журнал регистрации КС'!K$6:K$40,"Восточно-Е*(север)",'Журнал регистрации КС'!I$6:I$40,"1")+_xlfn.COUNTIFS('Журнал регистрации КС'!K$6:K$40,"Восточно-Е*(север)",'Журнал регистрации КС'!I$6:I$40,"1 с эл. 2 КС")</f>
        <v>0</v>
      </c>
      <c r="F25" s="54">
        <f>_xlfn.SUMIFS('Журнал регистрации КС'!G$6:G$40,'Журнал регистрации КС'!K$6:K$40,"Восточно-Е*(север)",'Журнал регистрации КС'!I$6:I$40,"1")+_xlfn.SUMIFS('Журнал регистрации КС'!G$6:G$40,'Журнал регистрации КС'!K$6:K$40,"Восточно-Е*(север)",'Журнал регистрации КС'!I$6:I$40,"1 с эл. 2 КС")</f>
        <v>0</v>
      </c>
      <c r="G25" s="54">
        <f>_xlfn.SUMIFS('Журнал регистрации КС'!H$6:H$40,'Журнал регистрации КС'!K$6:K$40,"Восточно-Е*(север)",'Журнал регистрации КС'!I$6:I$40,"1")+_xlfn.SUMIFS('Журнал регистрации КС'!H$6:H$40,'Журнал регистрации КС'!K$6:K$40,"Восточно-Е*(север)",'Журнал регистрации КС'!I$6:I$40,"1 с эл. 2 КС")</f>
        <v>0</v>
      </c>
      <c r="H25" s="50">
        <f>_xlfn.COUNTIFS('Журнал регистрации КС'!K$6:K$40,"Восточно-Е*(север)",'Журнал регистрации КС'!I$6:I$40,"2")+_xlfn.COUNTIFS('Журнал регистрации КС'!K$6:K$40,"Восточно-Е*(север)",'Журнал регистрации КС'!I$6:I$40,"2 с эл. 3 КС")</f>
        <v>0</v>
      </c>
      <c r="I25" s="54">
        <f>_xlfn.SUMIFS('Журнал регистрации КС'!G$6:G$40,'Журнал регистрации КС'!K$6:K$40,"Восточно-Е*(север)",'Журнал регистрации КС'!I$6:I$40,"2")+_xlfn.SUMIFS('Журнал регистрации КС'!H$6:H$40,'Журнал регистрации КС'!K$6:K$40,"Восточно-Е*(север)",'Журнал регистрации КС'!I$6:I$40,"2 с эл. 3 КС")</f>
        <v>0</v>
      </c>
      <c r="J25" s="54">
        <f>_xlfn.SUMIFS('Журнал регистрации КС'!H$6:H$40,'Журнал регистрации КС'!K$6:K$40,"Восточно-Е*(север)",'Журнал регистрации КС'!I$6:I$40,"2")+_xlfn.SUMIFS('Журнал регистрации КС'!H$6:H$40,'Журнал регистрации КС'!K$6:K$40,"Восточно-Е*(север)",'Журнал регистрации КС'!I$6:I$40,"2 с эл. 3 КС")</f>
        <v>0</v>
      </c>
      <c r="K25" s="50">
        <f>_xlfn.COUNTIFS('Журнал регистрации КС'!K$6:K$40,"Восточно-Е*(север)",'Журнал регистрации КС'!I$6:I$40,"3")</f>
        <v>0</v>
      </c>
      <c r="L25" s="50">
        <f>_xlfn.SUMIFS('Журнал регистрации КС'!G$6:G$40,'Журнал регистрации КС'!K$6:K$40,"Восточно-Е*(север)",'Журнал регистрации КС'!I$6:I$40,"3")</f>
        <v>0</v>
      </c>
      <c r="M25" s="50">
        <f>_xlfn.SUMIFS('Журнал регистрации КС'!H$6:H$40,'Журнал регистрации КС'!K$6:K$40,"Восточно-Е*(север)",'Журнал регистрации КС'!I$6:I$40,"3")</f>
        <v>0</v>
      </c>
      <c r="N25" s="50">
        <f>_xlfn.COUNTIFS('Журнал регистрации КС'!K$6:K$40,"Восточно-Е*(север)",'Журнал регистрации КС'!I$6:I$40,"4")</f>
        <v>0</v>
      </c>
      <c r="O25" s="50">
        <f>_xlfn.SUMIFS('Журнал регистрации КС'!G$6:G$40,'Журнал регистрации КС'!K$6:K$40,"Восточно-Е*(север)",'Журнал регистрации КС'!I$6:I$40,"4")</f>
        <v>0</v>
      </c>
      <c r="P25" s="50">
        <f>_xlfn.SUMIFS('Журнал регистрации КС'!H$6:H$40,'Журнал регистрации КС'!K$6:K$40,"Восточно-Е*(север)",'Журнал регистрации КС'!I$6:I$40,"4")</f>
        <v>0</v>
      </c>
      <c r="Q25" s="46">
        <f t="shared" si="1"/>
        <v>0</v>
      </c>
      <c r="R25" s="112">
        <f t="shared" si="2"/>
        <v>0</v>
      </c>
    </row>
    <row r="26" spans="1:18" ht="13.5" customHeight="1">
      <c r="A26" s="45" t="s">
        <v>54</v>
      </c>
      <c r="B26" s="50">
        <f>COUNTIF('Журнал регистрации НК'!K$6:K$305,"Восточно-Е*(центр)")</f>
        <v>0</v>
      </c>
      <c r="C26" s="50">
        <f>SUMIF('Журнал регистрации НК'!K$6:K$305,"Восточно-Е*(центр)",'Журнал регистрации НК'!G$6:G$305)</f>
        <v>0</v>
      </c>
      <c r="D26" s="50">
        <f>SUMIF('Журнал регистрации НК'!K$6:K$305,"Восточно-Е*(центр)",'Журнал регистрации НК'!H$6:H$305)</f>
        <v>0</v>
      </c>
      <c r="E26" s="50">
        <f>_xlfn.COUNTIFS('Журнал регистрации КС'!K$6:K$40,"Восточно-Е*(центр)",'Журнал регистрации КС'!I$6:I$40,"1")+_xlfn.COUNTIFS('Журнал регистрации КС'!K$6:K$40,"Восточно-Е*(центр)",'Журнал регистрации КС'!I$6:I$40,"1 с эл. 2 КС")</f>
        <v>0</v>
      </c>
      <c r="F26" s="54">
        <f>_xlfn.SUMIFS('Журнал регистрации КС'!G$6:G$40,'Журнал регистрации КС'!K$6:K$40,"Восточно-Е*(центр)",'Журнал регистрации КС'!I$6:I$40,"1")+_xlfn.SUMIFS('Журнал регистрации КС'!G$6:G$40,'Журнал регистрации КС'!K$6:K$40,"Восточно-Е*(центр)",'Журнал регистрации КС'!I$6:I$40,"1 с эл. 2 КС")</f>
        <v>0</v>
      </c>
      <c r="G26" s="54">
        <f>_xlfn.SUMIFS('Журнал регистрации КС'!H$6:H$40,'Журнал регистрации КС'!K$6:K$40,"Восточно-Е*(центр)",'Журнал регистрации КС'!I$6:I$40,"1")+_xlfn.SUMIFS('Журнал регистрации КС'!H$6:H$40,'Журнал регистрации КС'!K$6:K$40,"Восточно-Е*(центр)",'Журнал регистрации КС'!I$6:I$40,"1 с эл. 2 КС")</f>
        <v>0</v>
      </c>
      <c r="H26" s="50">
        <f>_xlfn.COUNTIFS('Журнал регистрации КС'!K$6:K$40,"Восточно-Е*(центр)",'Журнал регистрации КС'!I$6:I$40,"2")+_xlfn.COUNTIFS('Журнал регистрации КС'!K$6:K$40,"Восточно-Е*(центр)",'Журнал регистрации КС'!I$6:I$40,"2 с эл. 3 КС")</f>
        <v>0</v>
      </c>
      <c r="I26" s="54">
        <f>_xlfn.SUMIFS('Журнал регистрации КС'!G$6:G$40,'Журнал регистрации КС'!K$6:K$40,"Восточно-Е*(центр)",'Журнал регистрации КС'!I$6:I$40,"2")+_xlfn.SUMIFS('Журнал регистрации КС'!H$6:H$40,'Журнал регистрации КС'!K$6:K$40,"Восточно-Е*(центр)",'Журнал регистрации КС'!I$6:I$40,"2 с эл. 3 КС")</f>
        <v>0</v>
      </c>
      <c r="J26" s="54">
        <f>_xlfn.SUMIFS('Журнал регистрации КС'!H$6:H$40,'Журнал регистрации КС'!K$6:K$40,"Восточно-Е*(центр)",'Журнал регистрации КС'!I$6:I$40,"2")+_xlfn.SUMIFS('Журнал регистрации КС'!H$6:H$40,'Журнал регистрации КС'!K$6:K$40,"Восточно-Е*(центр)",'Журнал регистрации КС'!I$6:I$40,"2 с эл. 3 КС")</f>
        <v>0</v>
      </c>
      <c r="K26" s="50">
        <f>_xlfn.COUNTIFS('Журнал регистрации КС'!K$6:K$40,"Восточно-Е*(центр)",'Журнал регистрации КС'!I$6:I$40,"3")</f>
        <v>0</v>
      </c>
      <c r="L26" s="50">
        <f>_xlfn.SUMIFS('Журнал регистрации КС'!G$6:G$40,'Журнал регистрации КС'!K$6:K$40,"Восточно-Е*(центр)",'Журнал регистрации КС'!I$6:I$40,"3")</f>
        <v>0</v>
      </c>
      <c r="M26" s="50">
        <f>_xlfn.SUMIFS('Журнал регистрации КС'!H$6:H$40,'Журнал регистрации КС'!K$6:K$40,"Восточно-Е*(центр)",'Журнал регистрации КС'!I$6:I$40,"3")</f>
        <v>0</v>
      </c>
      <c r="N26" s="50">
        <f>_xlfn.COUNTIFS('Журнал регистрации КС'!K$6:K$40,"Восточно-Е*(центр)",'Журнал регистрации КС'!I$6:I$40,"4")</f>
        <v>0</v>
      </c>
      <c r="O26" s="50">
        <f>_xlfn.SUMIFS('Журнал регистрации КС'!G$6:G$40,'Журнал регистрации КС'!K$6:K$40,"Восточно-Е*(центр)",'Журнал регистрации КС'!I$6:I$40,"4")</f>
        <v>0</v>
      </c>
      <c r="P26" s="50">
        <f>_xlfn.SUMIFS('Журнал регистрации КС'!H$6:H$40,'Журнал регистрации КС'!K$6:K$40,"Восточно-Е*(центр)",'Журнал регистрации КС'!I$6:I$40,"4")</f>
        <v>0</v>
      </c>
      <c r="Q26" s="46">
        <f t="shared" si="1"/>
        <v>0</v>
      </c>
      <c r="R26" s="112">
        <f t="shared" si="2"/>
        <v>0</v>
      </c>
    </row>
    <row r="27" spans="1:18" ht="13.5" customHeight="1">
      <c r="A27" s="45" t="s">
        <v>53</v>
      </c>
      <c r="B27" s="50">
        <f>COUNTIF('Журнал регистрации НК'!K$6:K$305,"Восточно-Е*(юг)")</f>
        <v>0</v>
      </c>
      <c r="C27" s="50">
        <f>SUMIF('Журнал регистрации НК'!K$6:K$305,"Восточно-Е*(юг)",'Журнал регистрации НК'!G$6:G$305)</f>
        <v>0</v>
      </c>
      <c r="D27" s="50">
        <f>SUMIF('Журнал регистрации НК'!K$6:K$305,"Восточно-Е*(юг)",'Журнал регистрации НК'!H$6:H$305)</f>
        <v>0</v>
      </c>
      <c r="E27" s="50">
        <f>_xlfn.COUNTIFS('Журнал регистрации КС'!K$6:K$40,"Восточно-Е*(юг)",'Журнал регистрации КС'!I$6:I$40,"1")+_xlfn.COUNTIFS('Журнал регистрации КС'!K$6:K$40,"Восточно-Е*(юг)",'Журнал регистрации КС'!I$6:I$40,"1 с эл. 2 КС")</f>
        <v>0</v>
      </c>
      <c r="F27" s="54">
        <f>_xlfn.SUMIFS('Журнал регистрации КС'!G$6:G$40,'Журнал регистрации КС'!K$6:K$40,"Восточно-Е*(юг)",'Журнал регистрации КС'!I$6:I$40,"1")+_xlfn.SUMIFS('Журнал регистрации КС'!G$6:G$40,'Журнал регистрации КС'!K$6:K$40,"Восточно-Е*(юг)",'Журнал регистрации КС'!I$6:I$40,"1 с эл. 2 КС")</f>
        <v>0</v>
      </c>
      <c r="G27" s="54">
        <f>_xlfn.SUMIFS('Журнал регистрации КС'!H$6:H$40,'Журнал регистрации КС'!K$6:K$40,"Восточно-Е*(юг)",'Журнал регистрации КС'!I$6:I$40,"1")+_xlfn.SUMIFS('Журнал регистрации КС'!H$6:H$40,'Журнал регистрации КС'!K$6:K$40,"Восточно-Е*(юг)",'Журнал регистрации КС'!I$6:I$40,"1 с эл. 2 КС")</f>
        <v>0</v>
      </c>
      <c r="H27" s="50">
        <f>_xlfn.COUNTIFS('Журнал регистрации КС'!K$6:K$40,"Восточно-Е*(юг)",'Журнал регистрации КС'!I$6:I$40,"2")+_xlfn.COUNTIFS('Журнал регистрации КС'!K$6:K$40,"Восточно-Е*(юг)",'Журнал регистрации КС'!I$6:I$40,"2 с эл. 3 КС")</f>
        <v>0</v>
      </c>
      <c r="I27" s="54">
        <f>_xlfn.SUMIFS('Журнал регистрации КС'!G$6:G$40,'Журнал регистрации КС'!K$6:K$40,"Восточно-Е*(юг)",'Журнал регистрации КС'!I$6:I$40,"2")+_xlfn.SUMIFS('Журнал регистрации КС'!H$6:H$40,'Журнал регистрации КС'!K$6:K$40,"Восточно-Е*(юг)",'Журнал регистрации КС'!I$6:I$40,"2 с эл. 3 КС")</f>
        <v>0</v>
      </c>
      <c r="J27" s="54">
        <f>_xlfn.SUMIFS('Журнал регистрации КС'!H$6:H$40,'Журнал регистрации КС'!K$6:K$40,"Восточно-Е*(юг)",'Журнал регистрации КС'!I$6:I$40,"2")+_xlfn.SUMIFS('Журнал регистрации КС'!H$6:H$40,'Журнал регистрации КС'!K$6:K$40,"Восточно-Е*(юг)",'Журнал регистрации КС'!I$6:I$40,"2 с эл. 3 КС")</f>
        <v>0</v>
      </c>
      <c r="K27" s="50">
        <f>_xlfn.COUNTIFS('Журнал регистрации КС'!K$6:K$40,"Восточно-Е*(юг)",'Журнал регистрации КС'!I$6:I$40,"3")</f>
        <v>0</v>
      </c>
      <c r="L27" s="50">
        <f>_xlfn.SUMIFS('Журнал регистрации КС'!G$6:G$40,'Журнал регистрации КС'!K$6:K$40,"Восточно-Е*(юг)",'Журнал регистрации КС'!I$6:I$40,"3")</f>
        <v>0</v>
      </c>
      <c r="M27" s="50">
        <f>_xlfn.SUMIFS('Журнал регистрации КС'!H$6:H$40,'Журнал регистрации КС'!K$6:K$40,"Восточно-Е*(юг)",'Журнал регистрации КС'!I$6:I$40,"3")</f>
        <v>0</v>
      </c>
      <c r="N27" s="50">
        <f>_xlfn.COUNTIFS('Журнал регистрации КС'!K$6:K$40,"Восточно-Е*(юг)",'Журнал регистрации КС'!I$6:I$40,"4")</f>
        <v>0</v>
      </c>
      <c r="O27" s="50">
        <f>_xlfn.SUMIFS('Журнал регистрации КС'!G$6:G$40,'Журнал регистрации КС'!K$6:K$40,"Восточно-Е*(юг)",'Журнал регистрации КС'!I$6:I$40,"4")</f>
        <v>0</v>
      </c>
      <c r="P27" s="50">
        <f>_xlfn.SUMIFS('Журнал регистрации КС'!H$6:H$40,'Журнал регистрации КС'!K$6:K$40,"Восточно-Е*(юг)",'Журнал регистрации КС'!I$6:I$40,"4")</f>
        <v>0</v>
      </c>
      <c r="Q27" s="46">
        <f t="shared" si="1"/>
        <v>0</v>
      </c>
      <c r="R27" s="112">
        <f t="shared" si="2"/>
        <v>0</v>
      </c>
    </row>
    <row r="28" spans="1:18" ht="13.5" customHeight="1">
      <c r="A28" s="45" t="s">
        <v>61</v>
      </c>
      <c r="B28" s="50">
        <f>COUNTIF('Журнал регистрации НК'!K$6:K$305,"Гиссар*")</f>
        <v>0</v>
      </c>
      <c r="C28" s="50">
        <f>SUMIF('Журнал регистрации НК'!K$6:K$305,"Гиссар*",'Журнал регистрации НК'!G$6:G$305)</f>
        <v>0</v>
      </c>
      <c r="D28" s="50">
        <f>SUMIF('Журнал регистрации НК'!K$6:K$305,"Гиссар*",'Журнал регистрации НК'!H$6:H$305)</f>
        <v>0</v>
      </c>
      <c r="E28" s="50">
        <f>_xlfn.COUNTIFS('Журнал регистрации КС'!K$6:K$40,"Гиссар*",'Журнал регистрации КС'!I$6:I$40,"1")+_xlfn.COUNTIFS('Журнал регистрации КС'!K$6:K$40,"Гиссар*",'Журнал регистрации КС'!I$6:I$40,"1 с эл. 2 КС")</f>
        <v>0</v>
      </c>
      <c r="F28" s="54">
        <f>_xlfn.SUMIFS('Журнал регистрации КС'!G$6:G$40,'Журнал регистрации КС'!K$6:K$40,"Гиссар*",'Журнал регистрации КС'!I$6:I$40,"1")+_xlfn.SUMIFS('Журнал регистрации КС'!G$6:G$40,'Журнал регистрации КС'!K$6:K$40,"Гиссар*",'Журнал регистрации КС'!I$6:I$40,"1 с эл. 2 КС")</f>
        <v>0</v>
      </c>
      <c r="G28" s="54">
        <f>_xlfn.SUMIFS('Журнал регистрации КС'!H$6:H$40,'Журнал регистрации КС'!K$6:K$40,"Гиссар*",'Журнал регистрации КС'!I$6:I$40,"1")+_xlfn.SUMIFS('Журнал регистрации КС'!H$6:H$40,'Журнал регистрации КС'!K$6:K$40,"Гиссар*",'Журнал регистрации КС'!I$6:I$40,"1 с эл. 2 КС")</f>
        <v>0</v>
      </c>
      <c r="H28" s="50">
        <f>_xlfn.COUNTIFS('Журнал регистрации КС'!K$6:K$40,"Гиссар*",'Журнал регистрации КС'!I$6:I$40,"2")+_xlfn.COUNTIFS('Журнал регистрации КС'!K$6:K$40,"Гиссар*",'Журнал регистрации КС'!I$6:I$40,"2 с эл. 3 КС")</f>
        <v>0</v>
      </c>
      <c r="I28" s="54">
        <f>_xlfn.SUMIFS('Журнал регистрации КС'!G$6:G$40,'Журнал регистрации КС'!K$6:K$40,"Гиссар*",'Журнал регистрации КС'!I$6:I$40,"2")+_xlfn.SUMIFS('Журнал регистрации КС'!H$6:H$40,'Журнал регистрации КС'!K$6:K$40,"Гиссар*",'Журнал регистрации КС'!I$6:I$40,"2 с эл. 3 КС")</f>
        <v>0</v>
      </c>
      <c r="J28" s="54">
        <f>_xlfn.SUMIFS('Журнал регистрации КС'!H$6:H$40,'Журнал регистрации КС'!K$6:K$40,"Гиссар*",'Журнал регистрации КС'!I$6:I$40,"2")+_xlfn.SUMIFS('Журнал регистрации КС'!H$6:H$40,'Журнал регистрации КС'!K$6:K$40,"Гиссар*",'Журнал регистрации КС'!I$6:I$40,"2 с эл. 3 КС")</f>
        <v>0</v>
      </c>
      <c r="K28" s="50">
        <f>_xlfn.COUNTIFS('Журнал регистрации КС'!K$6:K$40,"Гиссар*",'Журнал регистрации КС'!I$6:I$40,"3")</f>
        <v>0</v>
      </c>
      <c r="L28" s="50">
        <f>_xlfn.SUMIFS('Журнал регистрации КС'!G$6:G$40,'Журнал регистрации КС'!K$6:K$40,"Гиссар*",'Журнал регистрации КС'!I$6:I$40,"3")</f>
        <v>0</v>
      </c>
      <c r="M28" s="50">
        <f>_xlfn.SUMIFS('Журнал регистрации КС'!H$6:H$40,'Журнал регистрации КС'!K$6:K$40,"Гиссар*",'Журнал регистрации КС'!I$6:I$40,"3")</f>
        <v>0</v>
      </c>
      <c r="N28" s="50">
        <f>_xlfn.COUNTIFS('Журнал регистрации КС'!K$6:K$40,"Гиссар*",'Журнал регистрации КС'!I$6:I$40,"4")</f>
        <v>0</v>
      </c>
      <c r="O28" s="50">
        <f>_xlfn.SUMIFS('Журнал регистрации КС'!G$6:G$40,'Журнал регистрации КС'!K$6:K$40,"Гиссар*",'Журнал регистрации КС'!I$6:I$40,"4")</f>
        <v>0</v>
      </c>
      <c r="P28" s="50">
        <f>_xlfn.SUMIFS('Журнал регистрации КС'!H$6:H$40,'Журнал регистрации КС'!K$6:K$40,"Гиссар*",'Журнал регистрации КС'!I$6:I$40,"4")</f>
        <v>0</v>
      </c>
      <c r="Q28" s="46">
        <f t="shared" si="1"/>
        <v>0</v>
      </c>
      <c r="R28" s="112">
        <f t="shared" si="2"/>
        <v>0</v>
      </c>
    </row>
    <row r="29" spans="1:18" ht="13.5" customHeight="1">
      <c r="A29" s="45" t="s">
        <v>30</v>
      </c>
      <c r="B29" s="50">
        <f>COUNTIF('Журнал регистрации НК'!K$6:K$305,"Джунгарск*")</f>
        <v>0</v>
      </c>
      <c r="C29" s="50">
        <f>SUMIF('Журнал регистрации НК'!K$6:K$305,"Джунгарск*",'Журнал регистрации НК'!G$6:G$305)</f>
        <v>0</v>
      </c>
      <c r="D29" s="50">
        <f>SUMIF('Журнал регистрации НК'!K$6:K$305,"Джунгарск*",'Журнал регистрации НК'!H$6:H$305)</f>
        <v>0</v>
      </c>
      <c r="E29" s="50">
        <f>_xlfn.COUNTIFS('Журнал регистрации КС'!K$6:K$40,"Джунгарск*",'Журнал регистрации КС'!I$6:I$40,"1")+_xlfn.COUNTIFS('Журнал регистрации КС'!K$6:K$40,"Джунгарск*",'Журнал регистрации КС'!I$6:I$40,"1 с эл. 2 КС")</f>
        <v>0</v>
      </c>
      <c r="F29" s="54">
        <f>_xlfn.SUMIFS('Журнал регистрации КС'!G$6:G$40,'Журнал регистрации КС'!K$6:K$40,"Джунгарск*",'Журнал регистрации КС'!I$6:I$40,"1")+_xlfn.SUMIFS('Журнал регистрации КС'!G$6:G$40,'Журнал регистрации КС'!K$6:K$40,"Джунгарск*",'Журнал регистрации КС'!I$6:I$40,"1 с эл. 2 КС")</f>
        <v>0</v>
      </c>
      <c r="G29" s="54">
        <f>_xlfn.SUMIFS('Журнал регистрации КС'!H$6:H$40,'Журнал регистрации КС'!K$6:K$40,"Джунгарск*",'Журнал регистрации КС'!I$6:I$40,"1")+_xlfn.SUMIFS('Журнал регистрации КС'!H$6:H$40,'Журнал регистрации КС'!K$6:K$40,"Джунгарск*",'Журнал регистрации КС'!I$6:I$40,"1 с эл. 2 КС")</f>
        <v>0</v>
      </c>
      <c r="H29" s="50">
        <f>_xlfn.COUNTIFS('Журнал регистрации КС'!K$6:K$40,"Джунгарск*",'Журнал регистрации КС'!I$6:I$40,"2")+_xlfn.COUNTIFS('Журнал регистрации КС'!K$6:K$40,"Джунгарск*",'Журнал регистрации КС'!I$6:I$40,"2 с эл. 3 КС")</f>
        <v>0</v>
      </c>
      <c r="I29" s="54">
        <f>_xlfn.SUMIFS('Журнал регистрации КС'!G$6:G$40,'Журнал регистрации КС'!K$6:K$40,"Джунгарск*",'Журнал регистрации КС'!I$6:I$40,"2")+_xlfn.SUMIFS('Журнал регистрации КС'!H$6:H$40,'Журнал регистрации КС'!K$6:K$40,"Джунгарск*",'Журнал регистрации КС'!I$6:I$40,"2 с эл. 3 КС")</f>
        <v>0</v>
      </c>
      <c r="J29" s="54">
        <f>_xlfn.SUMIFS('Журнал регистрации КС'!H$6:H$40,'Журнал регистрации КС'!K$6:K$40,"Джунгарск*",'Журнал регистрации КС'!I$6:I$40,"2")+_xlfn.SUMIFS('Журнал регистрации КС'!H$6:H$40,'Журнал регистрации КС'!K$6:K$40,"Джунгарск*",'Журнал регистрации КС'!I$6:I$40,"2 с эл. 3 КС")</f>
        <v>0</v>
      </c>
      <c r="K29" s="50">
        <f>_xlfn.COUNTIFS('Журнал регистрации КС'!K$6:K$40,"Джунгарск*",'Журнал регистрации КС'!I$6:I$40,"3")</f>
        <v>0</v>
      </c>
      <c r="L29" s="50">
        <f>_xlfn.SUMIFS('Журнал регистрации КС'!G$6:G$40,'Журнал регистрации КС'!K$6:K$40,"Джунгарск*",'Журнал регистрации КС'!I$6:I$40,"3")</f>
        <v>0</v>
      </c>
      <c r="M29" s="50">
        <f>_xlfn.SUMIFS('Журнал регистрации КС'!H$6:H$40,'Журнал регистрации КС'!K$6:K$40,"Джунгарск*",'Журнал регистрации КС'!I$6:I$40,"3")</f>
        <v>0</v>
      </c>
      <c r="N29" s="50">
        <f>_xlfn.COUNTIFS('Журнал регистрации КС'!K$6:K$40,"Джунгарск*",'Журнал регистрации КС'!I$6:I$40,"4")</f>
        <v>0</v>
      </c>
      <c r="O29" s="50">
        <f>_xlfn.SUMIFS('Журнал регистрации КС'!G$6:G$40,'Журнал регистрации КС'!K$6:K$40,"Джунгарск*",'Журнал регистрации КС'!I$6:I$40,"4")</f>
        <v>0</v>
      </c>
      <c r="P29" s="50">
        <f>_xlfn.SUMIFS('Журнал регистрации КС'!H$6:H$40,'Журнал регистрации КС'!K$6:K$40,"Джунгарск*",'Журнал регистрации КС'!I$6:I$40,"4")</f>
        <v>0</v>
      </c>
      <c r="Q29" s="46">
        <f t="shared" si="1"/>
        <v>0</v>
      </c>
      <c r="R29" s="112">
        <f t="shared" si="2"/>
        <v>0</v>
      </c>
    </row>
    <row r="30" spans="1:18" ht="13.5" customHeight="1">
      <c r="A30" s="45" t="s">
        <v>67</v>
      </c>
      <c r="B30" s="50">
        <f>COUNTIF('Журнал регистрации НК'!K$6:K$305,"Забайкал*")</f>
        <v>0</v>
      </c>
      <c r="C30" s="50">
        <f>SUMIF('Журнал регистрации НК'!K$6:K$305,"Забайкал*",'Журнал регистрации НК'!G$6:G$305)</f>
        <v>0</v>
      </c>
      <c r="D30" s="50">
        <f>SUMIF('Журнал регистрации НК'!K$6:K$305,"Забайкал*",'Журнал регистрации НК'!H$6:H$305)</f>
        <v>0</v>
      </c>
      <c r="E30" s="50">
        <f>_xlfn.COUNTIFS('Журнал регистрации КС'!K$6:K$40,"Забайкал*",'Журнал регистрации КС'!I$6:I$40,"1")+_xlfn.COUNTIFS('Журнал регистрации КС'!K$6:K$40,"Забайкал*",'Журнал регистрации КС'!I$6:I$40,"1 с эл. 2 КС")</f>
        <v>0</v>
      </c>
      <c r="F30" s="54">
        <f>_xlfn.SUMIFS('Журнал регистрации КС'!G$6:G$40,'Журнал регистрации КС'!K$6:K$40,"Забайкал*",'Журнал регистрации КС'!I$6:I$40,"1")+_xlfn.SUMIFS('Журнал регистрации КС'!G$6:G$40,'Журнал регистрации КС'!K$6:K$40,"Забайкал*",'Журнал регистрации КС'!I$6:I$40,"1 с эл. 2 КС")</f>
        <v>0</v>
      </c>
      <c r="G30" s="54">
        <f>_xlfn.SUMIFS('Журнал регистрации КС'!H$6:H$40,'Журнал регистрации КС'!K$6:K$40,"Забайкал*",'Журнал регистрации КС'!I$6:I$40,"1")+_xlfn.SUMIFS('Журнал регистрации КС'!H$6:H$40,'Журнал регистрации КС'!K$6:K$40,"Забайкал*",'Журнал регистрации КС'!I$6:I$40,"1 с эл. 2 КС")</f>
        <v>0</v>
      </c>
      <c r="H30" s="50">
        <f>_xlfn.COUNTIFS('Журнал регистрации КС'!K$6:K$40,"Забайкал*",'Журнал регистрации КС'!I$6:I$40,"2")+_xlfn.COUNTIFS('Журнал регистрации КС'!K$6:K$40,"Забайкал*",'Журнал регистрации КС'!I$6:I$40,"2 с эл. 3 КС")</f>
        <v>0</v>
      </c>
      <c r="I30" s="54">
        <f>_xlfn.SUMIFS('Журнал регистрации КС'!G$6:G$40,'Журнал регистрации КС'!K$6:K$40,"Забайкал*",'Журнал регистрации КС'!I$6:I$40,"2")+_xlfn.SUMIFS('Журнал регистрации КС'!H$6:H$40,'Журнал регистрации КС'!K$6:K$40,"Забайкал*",'Журнал регистрации КС'!I$6:I$40,"2 с эл. 3 КС")</f>
        <v>0</v>
      </c>
      <c r="J30" s="54">
        <f>_xlfn.SUMIFS('Журнал регистрации КС'!H$6:H$40,'Журнал регистрации КС'!K$6:K$40,"Забайкал*",'Журнал регистрации КС'!I$6:I$40,"2")+_xlfn.SUMIFS('Журнал регистрации КС'!H$6:H$40,'Журнал регистрации КС'!K$6:K$40,"Забайкал*",'Журнал регистрации КС'!I$6:I$40,"2 с эл. 3 КС")</f>
        <v>0</v>
      </c>
      <c r="K30" s="50">
        <f>_xlfn.COUNTIFS('Журнал регистрации КС'!K$6:K$40,"Забайкал*",'Журнал регистрации КС'!I$6:I$40,"3")</f>
        <v>0</v>
      </c>
      <c r="L30" s="50">
        <f>_xlfn.SUMIFS('Журнал регистрации КС'!G$6:G$40,'Журнал регистрации КС'!K$6:K$40,"Забайкал*",'Журнал регистрации КС'!I$6:I$40,"3")</f>
        <v>0</v>
      </c>
      <c r="M30" s="50">
        <f>_xlfn.SUMIFS('Журнал регистрации КС'!H$6:H$40,'Журнал регистрации КС'!K$6:K$40,"Забайкал*",'Журнал регистрации КС'!I$6:I$40,"3")</f>
        <v>0</v>
      </c>
      <c r="N30" s="50">
        <f>_xlfn.COUNTIFS('Журнал регистрации КС'!K$6:K$40,"Забайкал*",'Журнал регистрации КС'!I$6:I$40,"4")</f>
        <v>0</v>
      </c>
      <c r="O30" s="50">
        <f>_xlfn.SUMIFS('Журнал регистрации КС'!G$6:G$40,'Журнал регистрации КС'!K$6:K$40,"Забайкал*",'Журнал регистрации КС'!I$6:I$40,"4")</f>
        <v>0</v>
      </c>
      <c r="P30" s="50">
        <f>_xlfn.SUMIFS('Журнал регистрации КС'!H$6:H$40,'Журнал регистрации КС'!K$6:K$40,"Забайкал*",'Журнал регистрации КС'!I$6:I$40,"4")</f>
        <v>0</v>
      </c>
      <c r="Q30" s="46">
        <f t="shared" si="1"/>
        <v>0</v>
      </c>
      <c r="R30" s="112">
        <f t="shared" si="2"/>
        <v>0</v>
      </c>
    </row>
    <row r="31" spans="1:18" ht="13.5" customHeight="1">
      <c r="A31" s="45" t="s">
        <v>28</v>
      </c>
      <c r="B31" s="50">
        <f>COUNTIF('Журнал регистрации НК'!K$6:K$305,"Закавказ*")</f>
        <v>0</v>
      </c>
      <c r="C31" s="50">
        <f>SUMIF('Журнал регистрации НК'!K$6:K$305,"Закавказ*",'Журнал регистрации НК'!G$6:G$305)</f>
        <v>0</v>
      </c>
      <c r="D31" s="50">
        <f>SUMIF('Журнал регистрации НК'!K$6:K$305,"Закавказ*",'Журнал регистрации НК'!H$6:H$305)</f>
        <v>0</v>
      </c>
      <c r="E31" s="50">
        <f>_xlfn.COUNTIFS('Журнал регистрации КС'!K$6:K$40,"Закавказ*",'Журнал регистрации КС'!I$6:I$40,"1")+_xlfn.COUNTIFS('Журнал регистрации КС'!K$6:K$40,"Закавказ*",'Журнал регистрации КС'!I$6:I$40,"1 с эл. 2 КС")</f>
        <v>0</v>
      </c>
      <c r="F31" s="54">
        <f>_xlfn.SUMIFS('Журнал регистрации КС'!G$6:G$40,'Журнал регистрации КС'!K$6:K$40,"Закавказ*",'Журнал регистрации КС'!I$6:I$40,"1")+_xlfn.SUMIFS('Журнал регистрации КС'!G$6:G$40,'Журнал регистрации КС'!K$6:K$40,"Закавказ*",'Журнал регистрации КС'!I$6:I$40,"1 с эл. 2 КС")</f>
        <v>0</v>
      </c>
      <c r="G31" s="54">
        <f>_xlfn.SUMIFS('Журнал регистрации КС'!H$6:H$40,'Журнал регистрации КС'!K$6:K$40,"Закавказ*",'Журнал регистрации КС'!I$6:I$40,"1")+_xlfn.SUMIFS('Журнал регистрации КС'!H$6:H$40,'Журнал регистрации КС'!K$6:K$40,"Закавказ*",'Журнал регистрации КС'!I$6:I$40,"1 с эл. 2 КС")</f>
        <v>0</v>
      </c>
      <c r="H31" s="50">
        <f>_xlfn.COUNTIFS('Журнал регистрации КС'!K$6:K$40,"Закавказ*",'Журнал регистрации КС'!I$6:I$40,"2")+_xlfn.COUNTIFS('Журнал регистрации КС'!K$6:K$40,"Закавказ*",'Журнал регистрации КС'!I$6:I$40,"2 с эл. 3 КС")</f>
        <v>0</v>
      </c>
      <c r="I31" s="54">
        <f>_xlfn.SUMIFS('Журнал регистрации КС'!G$6:G$40,'Журнал регистрации КС'!K$6:K$40,"Закавказ*",'Журнал регистрации КС'!I$6:I$40,"2")+_xlfn.SUMIFS('Журнал регистрации КС'!H$6:H$40,'Журнал регистрации КС'!K$6:K$40,"Закавказ*",'Журнал регистрации КС'!I$6:I$40,"2 с эл. 3 КС")</f>
        <v>0</v>
      </c>
      <c r="J31" s="54">
        <f>_xlfn.SUMIFS('Журнал регистрации КС'!H$6:H$40,'Журнал регистрации КС'!K$6:K$40,"Закавказ*",'Журнал регистрации КС'!I$6:I$40,"2")+_xlfn.SUMIFS('Журнал регистрации КС'!H$6:H$40,'Журнал регистрации КС'!K$6:K$40,"Закавказ*",'Журнал регистрации КС'!I$6:I$40,"2 с эл. 3 КС")</f>
        <v>0</v>
      </c>
      <c r="K31" s="50">
        <f>_xlfn.COUNTIFS('Журнал регистрации КС'!K$6:K$40,"Закавказ*",'Журнал регистрации КС'!I$6:I$40,"3")</f>
        <v>0</v>
      </c>
      <c r="L31" s="50">
        <f>_xlfn.SUMIFS('Журнал регистрации КС'!G$6:G$40,'Журнал регистрации КС'!K$6:K$40,"Закавказ*",'Журнал регистрации КС'!I$6:I$40,"3")</f>
        <v>0</v>
      </c>
      <c r="M31" s="50">
        <f>_xlfn.SUMIFS('Журнал регистрации КС'!H$6:H$40,'Журнал регистрации КС'!K$6:K$40,"Закавказ*",'Журнал регистрации КС'!I$6:I$40,"3")</f>
        <v>0</v>
      </c>
      <c r="N31" s="50">
        <f>_xlfn.COUNTIFS('Журнал регистрации КС'!K$6:K$40,"Закавказ*",'Журнал регистрации КС'!I$6:I$40,"4")</f>
        <v>0</v>
      </c>
      <c r="O31" s="50">
        <f>_xlfn.SUMIFS('Журнал регистрации КС'!G$6:G$40,'Журнал регистрации КС'!K$6:K$40,"Закавказ*",'Журнал регистрации КС'!I$6:I$40,"4")</f>
        <v>0</v>
      </c>
      <c r="P31" s="50">
        <f>_xlfn.SUMIFS('Журнал регистрации КС'!H$6:H$40,'Журнал регистрации КС'!K$6:K$40,"Закавказ*",'Журнал регистрации КС'!I$6:I$40,"4")</f>
        <v>0</v>
      </c>
      <c r="Q31" s="46">
        <f t="shared" si="1"/>
        <v>0</v>
      </c>
      <c r="R31" s="112">
        <f t="shared" si="2"/>
        <v>0</v>
      </c>
    </row>
    <row r="32" spans="1:18" ht="13.5" customHeight="1">
      <c r="A32" s="45" t="s">
        <v>58</v>
      </c>
      <c r="B32" s="50">
        <f>COUNTIF('Журнал регистрации НК'!K$6:K$305,"Западная С*(север)")</f>
        <v>0</v>
      </c>
      <c r="C32" s="50">
        <f>SUMIF('Журнал регистрации НК'!K$6:K$305,"Западная С*(север)",'Журнал регистрации НК'!G$6:G$305)</f>
        <v>0</v>
      </c>
      <c r="D32" s="50">
        <f>SUMIF('Журнал регистрации НК'!K$6:K$305,"Западная С*(север)",'Журнал регистрации НК'!H$6:H$305)</f>
        <v>0</v>
      </c>
      <c r="E32" s="50">
        <f>_xlfn.COUNTIFS('Журнал регистрации КС'!K$6:K$40,"Западная С*(север)",'Журнал регистрации КС'!I$6:I$40,"1")+_xlfn.COUNTIFS('Журнал регистрации КС'!K$6:K$40,"Западная С*(север)",'Журнал регистрации КС'!I$6:I$40,"1 с эл. 2 КС")</f>
        <v>0</v>
      </c>
      <c r="F32" s="54">
        <f>_xlfn.SUMIFS('Журнал регистрации КС'!G$6:G$40,'Журнал регистрации КС'!K$6:K$40,"Западная С*(север)",'Журнал регистрации КС'!I$6:I$40,"1")+_xlfn.SUMIFS('Журнал регистрации КС'!G$6:G$40,'Журнал регистрации КС'!K$6:K$40,"Западная С*(север)",'Журнал регистрации КС'!I$6:I$40,"1 с эл. 2 КС")</f>
        <v>0</v>
      </c>
      <c r="G32" s="54">
        <f>_xlfn.SUMIFS('Журнал регистрации КС'!H$6:H$40,'Журнал регистрации КС'!K$6:K$40,"Западная С*(север)",'Журнал регистрации КС'!I$6:I$40,"1")+_xlfn.SUMIFS('Журнал регистрации КС'!H$6:H$40,'Журнал регистрации КС'!K$6:K$40,"Западная С*(север)",'Журнал регистрации КС'!I$6:I$40,"1 с эл. 2 КС")</f>
        <v>0</v>
      </c>
      <c r="H32" s="50">
        <f>_xlfn.COUNTIFS('Журнал регистрации КС'!K$6:K$40,"Западная С*(север)",'Журнал регистрации КС'!I$6:I$40,"2")+_xlfn.COUNTIFS('Журнал регистрации КС'!K$6:K$40,"Западная С*(север)",'Журнал регистрации КС'!I$6:I$40,"2 с эл. 3 КС")</f>
        <v>0</v>
      </c>
      <c r="I32" s="54">
        <f>_xlfn.SUMIFS('Журнал регистрации КС'!G$6:G$40,'Журнал регистрации КС'!K$6:K$40,"Западная С*(север)",'Журнал регистрации КС'!I$6:I$40,"2")+_xlfn.SUMIFS('Журнал регистрации КС'!H$6:H$40,'Журнал регистрации КС'!K$6:K$40,"Западная С*(север)",'Журнал регистрации КС'!I$6:I$40,"2 с эл. 3 КС")</f>
        <v>0</v>
      </c>
      <c r="J32" s="54">
        <f>_xlfn.SUMIFS('Журнал регистрации КС'!H$6:H$40,'Журнал регистрации КС'!K$6:K$40,"Западная С*(север)",'Журнал регистрации КС'!I$6:I$40,"2")+_xlfn.SUMIFS('Журнал регистрации КС'!H$6:H$40,'Журнал регистрации КС'!K$6:K$40,"Западная С*(север)",'Журнал регистрации КС'!I$6:I$40,"2 с эл. 3 КС")</f>
        <v>0</v>
      </c>
      <c r="K32" s="50">
        <f>_xlfn.COUNTIFS('Журнал регистрации КС'!K$6:K$40,"Западная С*(север)",'Журнал регистрации КС'!I$6:I$40,"3")</f>
        <v>0</v>
      </c>
      <c r="L32" s="50">
        <f>_xlfn.SUMIFS('Журнал регистрации КС'!G$6:G$40,'Журнал регистрации КС'!K$6:K$40,"Западная С*(север)",'Журнал регистрации КС'!I$6:I$40,"3")</f>
        <v>0</v>
      </c>
      <c r="M32" s="50">
        <f>_xlfn.SUMIFS('Журнал регистрации КС'!H$6:H$40,'Журнал регистрации КС'!K$6:K$40,"Западная С*(север)",'Журнал регистрации КС'!I$6:I$40,"3")</f>
        <v>0</v>
      </c>
      <c r="N32" s="50">
        <f>_xlfn.COUNTIFS('Журнал регистрации КС'!K$6:K$40,"Западная С*(север)",'Журнал регистрации КС'!I$6:I$40,"4")</f>
        <v>0</v>
      </c>
      <c r="O32" s="50">
        <f>_xlfn.SUMIFS('Журнал регистрации КС'!G$6:G$40,'Журнал регистрации КС'!K$6:K$40,"Западная С*(север)",'Журнал регистрации КС'!I$6:I$40,"4")</f>
        <v>0</v>
      </c>
      <c r="P32" s="50">
        <f>_xlfn.SUMIFS('Журнал регистрации КС'!H$6:H$40,'Журнал регистрации КС'!K$6:K$40,"Западная С*(север)",'Журнал регистрации КС'!I$6:I$40,"4")</f>
        <v>0</v>
      </c>
      <c r="Q32" s="46">
        <f t="shared" si="1"/>
        <v>0</v>
      </c>
      <c r="R32" s="112">
        <f t="shared" si="2"/>
        <v>0</v>
      </c>
    </row>
    <row r="33" spans="1:18" ht="13.5" customHeight="1">
      <c r="A33" s="45" t="s">
        <v>59</v>
      </c>
      <c r="B33" s="50">
        <f>COUNTIF('Журнал регистрации НК'!K$6:K$305,"Западная С*(сред*")</f>
        <v>0</v>
      </c>
      <c r="C33" s="50">
        <f>SUMIF('Журнал регистрации НК'!K$6:K$305,"Западная С*(сред*",'Журнал регистрации НК'!G$6:G$305)</f>
        <v>0</v>
      </c>
      <c r="D33" s="50">
        <f>SUMIF('Журнал регистрации НК'!K$6:K$305,"Западная С*(сред*",'Журнал регистрации НК'!H$6:H$305)</f>
        <v>0</v>
      </c>
      <c r="E33" s="50">
        <f>_xlfn.COUNTIFS('Журнал регистрации КС'!K$6:K$40,"Западная С*(сред*",'Журнал регистрации КС'!I$6:I$40,"1")+_xlfn.COUNTIFS('Журнал регистрации КС'!K$6:K$40,"Западная С*(сред*",'Журнал регистрации КС'!I$6:I$40,"1 с эл. 2 КС")</f>
        <v>0</v>
      </c>
      <c r="F33" s="54">
        <f>_xlfn.SUMIFS('Журнал регистрации КС'!G$6:G$40,'Журнал регистрации КС'!K$6:K$40,"Западная С*(сред*",'Журнал регистрации КС'!I$6:I$40,"1")+_xlfn.SUMIFS('Журнал регистрации КС'!G$6:G$40,'Журнал регистрации КС'!K$6:K$40,"Западная С*(сред*",'Журнал регистрации КС'!I$6:I$40,"1 с эл. 2 КС")</f>
        <v>0</v>
      </c>
      <c r="G33" s="54">
        <f>_xlfn.SUMIFS('Журнал регистрации КС'!H$6:H$40,'Журнал регистрации КС'!K$6:K$40,"Западная С*(сред*",'Журнал регистрации КС'!I$6:I$40,"1")+_xlfn.SUMIFS('Журнал регистрации КС'!H$6:H$40,'Журнал регистрации КС'!K$6:K$40,"Западная С*(сред*",'Журнал регистрации КС'!I$6:I$40,"1 с эл. 2 КС")</f>
        <v>0</v>
      </c>
      <c r="H33" s="50">
        <f>_xlfn.COUNTIFS('Журнал регистрации КС'!K$6:K$40,"Западная С*(сред*",'Журнал регистрации КС'!I$6:I$40,"2")+_xlfn.COUNTIFS('Журнал регистрации КС'!K$6:K$40,"Западная С*(сред*",'Журнал регистрации КС'!I$6:I$40,"2 с эл. 3 КС")</f>
        <v>0</v>
      </c>
      <c r="I33" s="54">
        <f>_xlfn.SUMIFS('Журнал регистрации КС'!G$6:G$40,'Журнал регистрации КС'!K$6:K$40,"Западная С*(сред*",'Журнал регистрации КС'!I$6:I$40,"2")+_xlfn.SUMIFS('Журнал регистрации КС'!H$6:H$40,'Журнал регистрации КС'!K$6:K$40,"Западная С*(сред*",'Журнал регистрации КС'!I$6:I$40,"2 с эл. 3 КС")</f>
        <v>0</v>
      </c>
      <c r="J33" s="54">
        <f>_xlfn.SUMIFS('Журнал регистрации КС'!H$6:H$40,'Журнал регистрации КС'!K$6:K$40,"Западная С*(сред*",'Журнал регистрации КС'!I$6:I$40,"2")+_xlfn.SUMIFS('Журнал регистрации КС'!H$6:H$40,'Журнал регистрации КС'!K$6:K$40,"Западная С*(сред*",'Журнал регистрации КС'!I$6:I$40,"2 с эл. 3 КС")</f>
        <v>0</v>
      </c>
      <c r="K33" s="50">
        <f>_xlfn.COUNTIFS('Журнал регистрации КС'!K$6:K$40,"Западная С*(сред*",'Журнал регистрации КС'!I$6:I$40,"3")</f>
        <v>0</v>
      </c>
      <c r="L33" s="50">
        <f>_xlfn.SUMIFS('Журнал регистрации КС'!G$6:G$40,'Журнал регистрации КС'!K$6:K$40,"Западная С*(сред*",'Журнал регистрации КС'!I$6:I$40,"3")</f>
        <v>0</v>
      </c>
      <c r="M33" s="50">
        <f>_xlfn.SUMIFS('Журнал регистрации КС'!H$6:H$40,'Журнал регистрации КС'!K$6:K$40,"Западная С*(сред*",'Журнал регистрации КС'!I$6:I$40,"3")</f>
        <v>0</v>
      </c>
      <c r="N33" s="50">
        <f>_xlfn.COUNTIFS('Журнал регистрации КС'!K$6:K$40,"Западная С*(сред*",'Журнал регистрации КС'!I$6:I$40,"4")</f>
        <v>0</v>
      </c>
      <c r="O33" s="50">
        <f>_xlfn.SUMIFS('Журнал регистрации КС'!G$6:G$40,'Журнал регистрации КС'!K$6:K$40,"Западная С*(сред*",'Журнал регистрации КС'!I$6:I$40,"4")</f>
        <v>0</v>
      </c>
      <c r="P33" s="50">
        <f>_xlfn.SUMIFS('Журнал регистрации КС'!H$6:H$40,'Журнал регистрации КС'!K$6:K$40,"Западная С*(сред*",'Журнал регистрации КС'!I$6:I$40,"4")</f>
        <v>0</v>
      </c>
      <c r="Q33" s="46">
        <f t="shared" si="1"/>
        <v>0</v>
      </c>
      <c r="R33" s="112">
        <f t="shared" si="2"/>
        <v>0</v>
      </c>
    </row>
    <row r="34" spans="1:18" ht="13.5" customHeight="1">
      <c r="A34" s="45" t="s">
        <v>113</v>
      </c>
      <c r="B34" s="50">
        <f>COUNTIF('Журнал регистрации НК'!K$6:K$305,"Западная Ты*")</f>
        <v>0</v>
      </c>
      <c r="C34" s="50">
        <f>SUMIF('Журнал регистрации НК'!K$6:K$305,"Западная Ты*",'Журнал регистрации НК'!G$6:G$305)</f>
        <v>0</v>
      </c>
      <c r="D34" s="50">
        <f>SUMIF('Журнал регистрации НК'!K$6:K$305,"Западная Ты*",'Журнал регистрации НК'!H$6:H$305)</f>
        <v>0</v>
      </c>
      <c r="E34" s="50">
        <f>_xlfn.COUNTIFS('Журнал регистрации КС'!K$6:K$40,"Западная Ты*",'Журнал регистрации КС'!I$6:I$40,"1")+_xlfn.COUNTIFS('Журнал регистрации КС'!K$6:K$40,"Западная Ты*",'Журнал регистрации КС'!I$6:I$40,"1 с эл. 2 КС")</f>
        <v>0</v>
      </c>
      <c r="F34" s="54">
        <f>_xlfn.SUMIFS('Журнал регистрации КС'!G$6:G$40,'Журнал регистрации КС'!K$6:K$40,"Западная Ты*",'Журнал регистрации КС'!I$6:I$40,"1")+_xlfn.SUMIFS('Журнал регистрации КС'!G$6:G$40,'Журнал регистрации КС'!K$6:K$40,"Западная Ты*",'Журнал регистрации КС'!I$6:I$40,"1 с эл. 2 КС")</f>
        <v>0</v>
      </c>
      <c r="G34" s="54">
        <f>_xlfn.SUMIFS('Журнал регистрации КС'!H$6:H$40,'Журнал регистрации КС'!K$6:K$40,"Западная Ты*",'Журнал регистрации КС'!I$6:I$40,"1")+_xlfn.SUMIFS('Журнал регистрации КС'!H$6:H$40,'Журнал регистрации КС'!K$6:K$40,"Западная Ты*",'Журнал регистрации КС'!I$6:I$40,"1 с эл. 2 КС")</f>
        <v>0</v>
      </c>
      <c r="H34" s="50">
        <f>_xlfn.COUNTIFS('Журнал регистрации КС'!K$6:K$40,"Западная Ты*",'Журнал регистрации КС'!I$6:I$40,"2")+_xlfn.COUNTIFS('Журнал регистрации КС'!K$6:K$40,"Западная Ты*",'Журнал регистрации КС'!I$6:I$40,"2 с эл. 3 КС")</f>
        <v>0</v>
      </c>
      <c r="I34" s="54">
        <f>_xlfn.SUMIFS('Журнал регистрации КС'!G$6:G$40,'Журнал регистрации КС'!K$6:K$40,"Западная Ты*",'Журнал регистрации КС'!I$6:I$40,"2")+_xlfn.SUMIFS('Журнал регистрации КС'!H$6:H$40,'Журнал регистрации КС'!K$6:K$40,"Западная Ты*",'Журнал регистрации КС'!I$6:I$40,"2 с эл. 3 КС")</f>
        <v>0</v>
      </c>
      <c r="J34" s="54">
        <f>_xlfn.SUMIFS('Журнал регистрации КС'!H$6:H$40,'Журнал регистрации КС'!K$6:K$40,"Западная Ты*",'Журнал регистрации КС'!I$6:I$40,"2")+_xlfn.SUMIFS('Журнал регистрации КС'!H$6:H$40,'Журнал регистрации КС'!K$6:K$40,"Западная Ты*",'Журнал регистрации КС'!I$6:I$40,"2 с эл. 3 КС")</f>
        <v>0</v>
      </c>
      <c r="K34" s="50">
        <f>_xlfn.COUNTIFS('Журнал регистрации КС'!K$6:K$40,"Западная Ты*",'Журнал регистрации КС'!I$6:I$40,"3")</f>
        <v>0</v>
      </c>
      <c r="L34" s="50">
        <f>_xlfn.SUMIFS('Журнал регистрации КС'!G$6:G$40,'Журнал регистрации КС'!K$6:K$40,"Западная Ты*",'Журнал регистрации КС'!I$6:I$40,"3")</f>
        <v>0</v>
      </c>
      <c r="M34" s="50">
        <f>_xlfn.SUMIFS('Журнал регистрации КС'!H$6:H$40,'Журнал регистрации КС'!K$6:K$40,"Западная Ты*",'Журнал регистрации КС'!I$6:I$40,"3")</f>
        <v>0</v>
      </c>
      <c r="N34" s="50">
        <f>_xlfn.COUNTIFS('Журнал регистрации КС'!K$6:K$40,"Западная Ты*",'Журнал регистрации КС'!I$6:I$40,"4")</f>
        <v>0</v>
      </c>
      <c r="O34" s="50">
        <f>_xlfn.SUMIFS('Журнал регистрации КС'!G$6:G$40,'Журнал регистрации КС'!K$6:K$40,"Западная Ты*",'Журнал регистрации КС'!I$6:I$40,"4")</f>
        <v>0</v>
      </c>
      <c r="P34" s="50">
        <f>_xlfn.SUMIFS('Журнал регистрации КС'!H$6:H$40,'Журнал регистрации КС'!K$6:K$40,"Западная Ты*",'Журнал регистрации КС'!I$6:I$40,"4")</f>
        <v>0</v>
      </c>
      <c r="Q34" s="46">
        <f t="shared" si="1"/>
        <v>0</v>
      </c>
      <c r="R34" s="112">
        <f t="shared" si="2"/>
        <v>0</v>
      </c>
    </row>
    <row r="35" spans="1:18" ht="13.5" customHeight="1">
      <c r="A35" s="48" t="s">
        <v>43</v>
      </c>
      <c r="B35" s="50">
        <f>COUNTIF('Журнал регистрации НК'!K$6:K$305,"Кавказ В*")</f>
        <v>0</v>
      </c>
      <c r="C35" s="50">
        <f>SUMIF('Журнал регистрации НК'!K$6:K$305,"Кавказ В*",'Журнал регистрации НК'!G$6:G$305)</f>
        <v>0</v>
      </c>
      <c r="D35" s="50">
        <f>SUMIF('Журнал регистрации НК'!K$6:K$305,"Кавказ В*",'Журнал регистрации НК'!H$6:H$305)</f>
        <v>0</v>
      </c>
      <c r="E35" s="50">
        <f>_xlfn.COUNTIFS('Журнал регистрации КС'!K$6:K$40,"Кавказ В*",'Журнал регистрации КС'!I$6:I$40,"1")+_xlfn.COUNTIFS('Журнал регистрации КС'!K$6:K$40,"Кавказ В*",'Журнал регистрации КС'!I$6:I$40,"1 с эл. 2 КС")</f>
        <v>0</v>
      </c>
      <c r="F35" s="54">
        <f>_xlfn.SUMIFS('Журнал регистрации КС'!G$6:G$40,'Журнал регистрации КС'!K$6:K$40,"Кавказ В*",'Журнал регистрации КС'!I$6:I$40,"1")+_xlfn.SUMIFS('Журнал регистрации КС'!G$6:G$40,'Журнал регистрации КС'!K$6:K$40,"Кавказ В*",'Журнал регистрации КС'!I$6:I$40,"1 с эл. 2 КС")</f>
        <v>0</v>
      </c>
      <c r="G35" s="54">
        <f>_xlfn.SUMIFS('Журнал регистрации КС'!H$6:H$40,'Журнал регистрации КС'!K$6:K$40,"Кавказ В*",'Журнал регистрации КС'!I$6:I$40,"1")+_xlfn.SUMIFS('Журнал регистрации КС'!H$6:H$40,'Журнал регистрации КС'!K$6:K$40,"Кавказ В*",'Журнал регистрации КС'!I$6:I$40,"1 с эл. 2 КС")</f>
        <v>0</v>
      </c>
      <c r="H35" s="50">
        <f>_xlfn.COUNTIFS('Журнал регистрации КС'!K$6:K$40,"Кавказ В*",'Журнал регистрации КС'!I$6:I$40,"2")+_xlfn.COUNTIFS('Журнал регистрации КС'!K$6:K$40,"Кавказ В*",'Журнал регистрации КС'!I$6:I$40,"2 с эл. 3 КС")</f>
        <v>0</v>
      </c>
      <c r="I35" s="54">
        <f>_xlfn.SUMIFS('Журнал регистрации КС'!G$6:G$40,'Журнал регистрации КС'!K$6:K$40,"Кавказ В*",'Журнал регистрации КС'!I$6:I$40,"2")+_xlfn.SUMIFS('Журнал регистрации КС'!H$6:H$40,'Журнал регистрации КС'!K$6:K$40,"Кавказ В*",'Журнал регистрации КС'!I$6:I$40,"2 с эл. 3 КС")</f>
        <v>0</v>
      </c>
      <c r="J35" s="54">
        <f>_xlfn.SUMIFS('Журнал регистрации КС'!H$6:H$40,'Журнал регистрации КС'!K$6:K$40,"Кавказ В*",'Журнал регистрации КС'!I$6:I$40,"2")+_xlfn.SUMIFS('Журнал регистрации КС'!H$6:H$40,'Журнал регистрации КС'!K$6:K$40,"Кавказ В*",'Журнал регистрации КС'!I$6:I$40,"2 с эл. 3 КС")</f>
        <v>0</v>
      </c>
      <c r="K35" s="50">
        <f>_xlfn.COUNTIFS('Журнал регистрации КС'!K$6:K$40,"Кавказ В*",'Журнал регистрации КС'!I$6:I$40,"3")</f>
        <v>0</v>
      </c>
      <c r="L35" s="50">
        <f>_xlfn.SUMIFS('Журнал регистрации КС'!G$6:G$40,'Журнал регистрации КС'!K$6:K$40,"Кавказ В*",'Журнал регистрации КС'!I$6:I$40,"3")</f>
        <v>0</v>
      </c>
      <c r="M35" s="50">
        <f>_xlfn.SUMIFS('Журнал регистрации КС'!H$6:H$40,'Журнал регистрации КС'!K$6:K$40,"Кавказ В*",'Журнал регистрации КС'!I$6:I$40,"3")</f>
        <v>0</v>
      </c>
      <c r="N35" s="50">
        <f>_xlfn.COUNTIFS('Журнал регистрации КС'!K$6:K$40,"Кавказ В*",'Журнал регистрации КС'!I$6:I$40,"4")</f>
        <v>0</v>
      </c>
      <c r="O35" s="50">
        <f>_xlfn.SUMIFS('Журнал регистрации КС'!G$6:G$40,'Журнал регистрации КС'!K$6:K$40,"Кавказ В*",'Журнал регистрации КС'!I$6:I$40,"4")</f>
        <v>0</v>
      </c>
      <c r="P35" s="50">
        <f>_xlfn.SUMIFS('Журнал регистрации КС'!H$6:H$40,'Журнал регистрации КС'!K$6:K$40,"Кавказ В*",'Журнал регистрации КС'!I$6:I$40,"4")</f>
        <v>0</v>
      </c>
      <c r="Q35" s="46">
        <f t="shared" si="1"/>
        <v>0</v>
      </c>
      <c r="R35" s="112">
        <f t="shared" si="2"/>
        <v>0</v>
      </c>
    </row>
    <row r="36" spans="1:18" ht="13.5" customHeight="1">
      <c r="A36" s="45" t="s">
        <v>51</v>
      </c>
      <c r="B36" s="50">
        <f>COUNTIF('Журнал регистрации НК'!K$6:K$305,"Кавказ З*")</f>
        <v>0</v>
      </c>
      <c r="C36" s="50">
        <f>SUMIF('Журнал регистрации НК'!K$6:K$305,"Кавказ З*",'Журнал регистрации НК'!G$6:G$305)</f>
        <v>0</v>
      </c>
      <c r="D36" s="50">
        <f>SUMIF('Журнал регистрации НК'!K$6:K$305,"Кавказ З*",'Журнал регистрации НК'!H$6:H$305)</f>
        <v>0</v>
      </c>
      <c r="E36" s="50">
        <f>_xlfn.COUNTIFS('Журнал регистрации КС'!K$6:K$40,"Кавказ З*",'Журнал регистрации КС'!I$6:I$40,"1")+_xlfn.COUNTIFS('Журнал регистрации КС'!K$6:K$40,"Кавказ З*",'Журнал регистрации КС'!I$6:I$40,"1 с эл. 2 КС")</f>
        <v>0</v>
      </c>
      <c r="F36" s="54">
        <f>_xlfn.SUMIFS('Журнал регистрации КС'!G$6:G$40,'Журнал регистрации КС'!K$6:K$40,"Кавказ З*",'Журнал регистрации КС'!I$6:I$40,"1")+_xlfn.SUMIFS('Журнал регистрации КС'!G$6:G$40,'Журнал регистрации КС'!K$6:K$40,"Кавказ З*",'Журнал регистрации КС'!I$6:I$40,"1 с эл. 2 КС")</f>
        <v>0</v>
      </c>
      <c r="G36" s="54">
        <f>_xlfn.SUMIFS('Журнал регистрации КС'!H$6:H$40,'Журнал регистрации КС'!K$6:K$40,"Кавказ З*",'Журнал регистрации КС'!I$6:I$40,"1")+_xlfn.SUMIFS('Журнал регистрации КС'!H$6:H$40,'Журнал регистрации КС'!K$6:K$40,"Кавказ З*",'Журнал регистрации КС'!I$6:I$40,"1 с эл. 2 КС")</f>
        <v>0</v>
      </c>
      <c r="H36" s="50">
        <f>_xlfn.COUNTIFS('Журнал регистрации КС'!K$6:K$40,"Кавказ З*",'Журнал регистрации КС'!I$6:I$40,"2")+_xlfn.COUNTIFS('Журнал регистрации КС'!K$6:K$40,"Кавказ З*",'Журнал регистрации КС'!I$6:I$40,"2 с эл. 3 КС")</f>
        <v>0</v>
      </c>
      <c r="I36" s="54">
        <f>_xlfn.SUMIFS('Журнал регистрации КС'!G$6:G$40,'Журнал регистрации КС'!K$6:K$40,"Кавказ З*",'Журнал регистрации КС'!I$6:I$40,"2")+_xlfn.SUMIFS('Журнал регистрации КС'!H$6:H$40,'Журнал регистрации КС'!K$6:K$40,"Кавказ З*",'Журнал регистрации КС'!I$6:I$40,"2 с эл. 3 КС")</f>
        <v>0</v>
      </c>
      <c r="J36" s="54">
        <f>_xlfn.SUMIFS('Журнал регистрации КС'!H$6:H$40,'Журнал регистрации КС'!K$6:K$40,"Кавказ З*",'Журнал регистрации КС'!I$6:I$40,"2")+_xlfn.SUMIFS('Журнал регистрации КС'!H$6:H$40,'Журнал регистрации КС'!K$6:K$40,"Кавказ З*",'Журнал регистрации КС'!I$6:I$40,"2 с эл. 3 КС")</f>
        <v>0</v>
      </c>
      <c r="K36" s="50">
        <f>_xlfn.COUNTIFS('Журнал регистрации КС'!K$6:K$40,"Кавказ З*",'Журнал регистрации КС'!I$6:I$40,"3")</f>
        <v>0</v>
      </c>
      <c r="L36" s="50">
        <f>_xlfn.SUMIFS('Журнал регистрации КС'!G$6:G$40,'Журнал регистрации КС'!K$6:K$40,"Кавказ З*",'Журнал регистрации КС'!I$6:I$40,"3")</f>
        <v>0</v>
      </c>
      <c r="M36" s="50">
        <f>_xlfn.SUMIFS('Журнал регистрации КС'!H$6:H$40,'Журнал регистрации КС'!K$6:K$40,"Кавказ З*",'Журнал регистрации КС'!I$6:I$40,"3")</f>
        <v>0</v>
      </c>
      <c r="N36" s="50">
        <f>_xlfn.COUNTIFS('Журнал регистрации КС'!K$6:K$40,"Кавказ З*",'Журнал регистрации КС'!I$6:I$40,"4")</f>
        <v>0</v>
      </c>
      <c r="O36" s="50">
        <f>_xlfn.SUMIFS('Журнал регистрации КС'!G$6:G$40,'Журнал регистрации КС'!K$6:K$40,"Кавказ З*",'Журнал регистрации КС'!I$6:I$40,"4")</f>
        <v>0</v>
      </c>
      <c r="P36" s="50">
        <f>_xlfn.SUMIFS('Журнал регистрации КС'!H$6:H$40,'Журнал регистрации КС'!K$6:K$40,"Кавказ З*",'Журнал регистрации КС'!I$6:I$40,"4")</f>
        <v>0</v>
      </c>
      <c r="Q36" s="46">
        <f t="shared" si="1"/>
        <v>0</v>
      </c>
      <c r="R36" s="112">
        <f t="shared" si="2"/>
        <v>0</v>
      </c>
    </row>
    <row r="37" spans="1:18" ht="13.5" customHeight="1">
      <c r="A37" s="45" t="s">
        <v>50</v>
      </c>
      <c r="B37" s="50">
        <f>COUNTIF('Журнал регистрации НК'!K$6:K$305,"Кавказ Ц*")</f>
        <v>0</v>
      </c>
      <c r="C37" s="50">
        <f>SUMIF('Журнал регистрации НК'!K$6:K$305,"Кавказ Ц*",'Журнал регистрации НК'!G$6:G$305)</f>
        <v>0</v>
      </c>
      <c r="D37" s="50">
        <f>SUMIF('Журнал регистрации НК'!K$6:K$305,"Кавказ Ц*",'Журнал регистрации НК'!H$6:H$305)</f>
        <v>0</v>
      </c>
      <c r="E37" s="50">
        <f>_xlfn.COUNTIFS('Журнал регистрации КС'!K$6:K$40,"Кавказ Ц*",'Журнал регистрации КС'!I$6:I$40,"1")+_xlfn.COUNTIFS('Журнал регистрации КС'!K$6:K$40,"Кавказ Ц*",'Журнал регистрации КС'!I$6:I$40,"1 с эл. 2 КС")</f>
        <v>0</v>
      </c>
      <c r="F37" s="54">
        <f>_xlfn.SUMIFS('Журнал регистрации КС'!G$6:G$40,'Журнал регистрации КС'!K$6:K$40,"Кавказ Ц*",'Журнал регистрации КС'!I$6:I$40,"1")+_xlfn.SUMIFS('Журнал регистрации КС'!G$6:G$40,'Журнал регистрации КС'!K$6:K$40,"Кавказ Ц*",'Журнал регистрации КС'!I$6:I$40,"1 с эл. 2 КС")</f>
        <v>0</v>
      </c>
      <c r="G37" s="54">
        <f>_xlfn.SUMIFS('Журнал регистрации КС'!H$6:H$40,'Журнал регистрации КС'!K$6:K$40,"Кавказ Ц*",'Журнал регистрации КС'!I$6:I$40,"1")+_xlfn.SUMIFS('Журнал регистрации КС'!H$6:H$40,'Журнал регистрации КС'!K$6:K$40,"Кавказ Ц*",'Журнал регистрации КС'!I$6:I$40,"1 с эл. 2 КС")</f>
        <v>0</v>
      </c>
      <c r="H37" s="50">
        <f>_xlfn.COUNTIFS('Журнал регистрации КС'!K$6:K$40,"Кавказ Ц*",'Журнал регистрации КС'!I$6:I$40,"2")+_xlfn.COUNTIFS('Журнал регистрации КС'!K$6:K$40,"Кавказ Ц*",'Журнал регистрации КС'!I$6:I$40,"2 с эл. 3 КС")</f>
        <v>0</v>
      </c>
      <c r="I37" s="54">
        <f>_xlfn.SUMIFS('Журнал регистрации КС'!G$6:G$40,'Журнал регистрации КС'!K$6:K$40,"Кавказ Ц*",'Журнал регистрации КС'!I$6:I$40,"2")+_xlfn.SUMIFS('Журнал регистрации КС'!H$6:H$40,'Журнал регистрации КС'!K$6:K$40,"Кавказ Ц*",'Журнал регистрации КС'!I$6:I$40,"2 с эл. 3 КС")</f>
        <v>0</v>
      </c>
      <c r="J37" s="54">
        <f>_xlfn.SUMIFS('Журнал регистрации КС'!H$6:H$40,'Журнал регистрации КС'!K$6:K$40,"Кавказ Ц*",'Журнал регистрации КС'!I$6:I$40,"2")+_xlfn.SUMIFS('Журнал регистрации КС'!H$6:H$40,'Журнал регистрации КС'!K$6:K$40,"Кавказ Ц*",'Журнал регистрации КС'!I$6:I$40,"2 с эл. 3 КС")</f>
        <v>0</v>
      </c>
      <c r="K37" s="50">
        <f>_xlfn.COUNTIFS('Журнал регистрации КС'!K$6:K$40,"Кавказ Ц*",'Журнал регистрации КС'!I$6:I$40,"3")</f>
        <v>0</v>
      </c>
      <c r="L37" s="50">
        <f>_xlfn.SUMIFS('Журнал регистрации КС'!G$6:G$40,'Журнал регистрации КС'!K$6:K$40,"Кавказ Ц*",'Журнал регистрации КС'!I$6:I$40,"3")</f>
        <v>0</v>
      </c>
      <c r="M37" s="50">
        <f>_xlfn.SUMIFS('Журнал регистрации КС'!H$6:H$40,'Журнал регистрации КС'!K$6:K$40,"Кавказ Ц*",'Журнал регистрации КС'!I$6:I$40,"3")</f>
        <v>0</v>
      </c>
      <c r="N37" s="50">
        <f>_xlfn.COUNTIFS('Журнал регистрации КС'!K$6:K$40,"Кавказ Ц*",'Журнал регистрации КС'!I$6:I$40,"4")</f>
        <v>0</v>
      </c>
      <c r="O37" s="50">
        <f>_xlfn.SUMIFS('Журнал регистрации КС'!G$6:G$40,'Журнал регистрации КС'!K$6:K$40,"Кавказ Ц*",'Журнал регистрации КС'!I$6:I$40,"4")</f>
        <v>0</v>
      </c>
      <c r="P37" s="50">
        <f>_xlfn.SUMIFS('Журнал регистрации КС'!H$6:H$40,'Журнал регистрации КС'!K$6:K$40,"Кавказ Ц*",'Журнал регистрации КС'!I$6:I$40,"4")</f>
        <v>0</v>
      </c>
      <c r="Q37" s="46">
        <f t="shared" si="1"/>
        <v>0</v>
      </c>
      <c r="R37" s="112">
        <f t="shared" si="2"/>
        <v>0</v>
      </c>
    </row>
    <row r="38" spans="1:18" ht="13.5" customHeight="1">
      <c r="A38" s="45" t="s">
        <v>60</v>
      </c>
      <c r="B38" s="50">
        <f>COUNTIF('Журнал регистрации НК'!K$6:K$305,"Казахский*")</f>
        <v>0</v>
      </c>
      <c r="C38" s="50">
        <f>SUMIF('Журнал регистрации НК'!K$6:K$305,"Казахский*",'Журнал регистрации НК'!G$6:G$305)</f>
        <v>0</v>
      </c>
      <c r="D38" s="50">
        <f>SUMIF('Журнал регистрации НК'!K$6:K$305,"Казахский*",'Журнал регистрации НК'!H$6:H$305)</f>
        <v>0</v>
      </c>
      <c r="E38" s="50">
        <f>_xlfn.COUNTIFS('Журнал регистрации КС'!K$6:K$40,"Казахский*",'Журнал регистрации КС'!I$6:I$40,"1")+_xlfn.COUNTIFS('Журнал регистрации КС'!K$6:K$40,"Казахский*",'Журнал регистрации КС'!I$6:I$40,"1 с эл. 2 КС")</f>
        <v>0</v>
      </c>
      <c r="F38" s="54">
        <f>_xlfn.SUMIFS('Журнал регистрации КС'!G$6:G$40,'Журнал регистрации КС'!K$6:K$40,"Казахский*",'Журнал регистрации КС'!I$6:I$40,"1")+_xlfn.SUMIFS('Журнал регистрации КС'!G$6:G$40,'Журнал регистрации КС'!K$6:K$40,"Казахский*",'Журнал регистрации КС'!I$6:I$40,"1 с эл. 2 КС")</f>
        <v>0</v>
      </c>
      <c r="G38" s="54">
        <f>_xlfn.SUMIFS('Журнал регистрации КС'!H$6:H$40,'Журнал регистрации КС'!K$6:K$40,"Казахский*",'Журнал регистрации КС'!I$6:I$40,"1")+_xlfn.SUMIFS('Журнал регистрации КС'!H$6:H$40,'Журнал регистрации КС'!K$6:K$40,"Казахский*",'Журнал регистрации КС'!I$6:I$40,"1 с эл. 2 КС")</f>
        <v>0</v>
      </c>
      <c r="H38" s="50">
        <f>_xlfn.COUNTIFS('Журнал регистрации КС'!K$6:K$40,"Казахский*",'Журнал регистрации КС'!I$6:I$40,"2")+_xlfn.COUNTIFS('Журнал регистрации КС'!K$6:K$40,"Казахский*",'Журнал регистрации КС'!I$6:I$40,"2 с эл. 3 КС")</f>
        <v>0</v>
      </c>
      <c r="I38" s="54">
        <f>_xlfn.SUMIFS('Журнал регистрации КС'!G$6:G$40,'Журнал регистрации КС'!K$6:K$40,"Казахский*",'Журнал регистрации КС'!I$6:I$40,"2")+_xlfn.SUMIFS('Журнал регистрации КС'!H$6:H$40,'Журнал регистрации КС'!K$6:K$40,"Казахский*",'Журнал регистрации КС'!I$6:I$40,"2 с эл.3 КС")</f>
        <v>0</v>
      </c>
      <c r="J38" s="54">
        <f>_xlfn.SUMIFS('Журнал регистрации КС'!H$6:H$40,'Журнал регистрации КС'!K$6:K$40,"Казахский*",'Журнал регистрации КС'!I$6:I$40,"2")+_xlfn.SUMIFS('Журнал регистрации КС'!H$6:H$40,'Журнал регистрации КС'!K$6:K$40,"Казахский*",'Журнал регистрации КС'!I$6:I$40,"2 с эл.3 КС")</f>
        <v>0</v>
      </c>
      <c r="K38" s="50">
        <f>_xlfn.COUNTIFS('Журнал регистрации КС'!K$6:K$40,"Казахский*",'Журнал регистрации КС'!I$6:I$40,"3")</f>
        <v>0</v>
      </c>
      <c r="L38" s="50">
        <f>_xlfn.SUMIFS('Журнал регистрации КС'!G$6:G$40,'Журнал регистрации КС'!K$6:K$40,"Казахский*",'Журнал регистрации КС'!I$6:I$40,"3")</f>
        <v>0</v>
      </c>
      <c r="M38" s="50">
        <f>_xlfn.SUMIFS('Журнал регистрации КС'!H$6:H$40,'Журнал регистрации КС'!K$6:K$40,"Казахский*",'Журнал регистрации КС'!I$6:I$40,"3")</f>
        <v>0</v>
      </c>
      <c r="N38" s="50">
        <f>_xlfn.COUNTIFS('Журнал регистрации КС'!K$6:K$40,"Казахский*",'Журнал регистрации КС'!I$6:I$40,"4")</f>
        <v>0</v>
      </c>
      <c r="O38" s="50">
        <f>_xlfn.SUMIFS('Журнал регистрации КС'!G$6:G$40,'Журнал регистрации КС'!K$6:K$40,"Казахский*",'Журнал регистрации КС'!I$6:I$40,"4")</f>
        <v>0</v>
      </c>
      <c r="P38" s="50">
        <f>_xlfn.SUMIFS('Журнал регистрации КС'!H$6:H$40,'Журнал регистрации КС'!K$6:K$40,"Казахский*",'Журнал регистрации КС'!I$6:I$40,"4")</f>
        <v>0</v>
      </c>
      <c r="Q38" s="46">
        <f t="shared" si="1"/>
        <v>0</v>
      </c>
      <c r="R38" s="112">
        <f t="shared" si="2"/>
        <v>0</v>
      </c>
    </row>
    <row r="39" spans="1:18" ht="13.5" customHeight="1">
      <c r="A39" s="49" t="s">
        <v>73</v>
      </c>
      <c r="B39" s="50">
        <f>COUNTIF('Журнал регистрации НК'!K$6:K$305,"Камчат*")</f>
        <v>0</v>
      </c>
      <c r="C39" s="50">
        <f>SUMIF('Журнал регистрации НК'!K$6:K$305,"Камчат*",'Журнал регистрации НК'!G$6:G$305)</f>
        <v>0</v>
      </c>
      <c r="D39" s="50">
        <f>SUMIF('Журнал регистрации НК'!K$6:K$305,"Камчат*",'Журнал регистрации НК'!H$6:H$305)</f>
        <v>0</v>
      </c>
      <c r="E39" s="50">
        <f>_xlfn.COUNTIFS('Журнал регистрации КС'!K$6:K$40,"Камчат*",'Журнал регистрации КС'!I$6:I$40,"1")+_xlfn.COUNTIFS('Журнал регистрации КС'!K$6:K$40,"Камчат*",'Журнал регистрации КС'!I$6:I$40,"1 с эл. 2 КС")</f>
        <v>0</v>
      </c>
      <c r="F39" s="54">
        <f>_xlfn.SUMIFS('Журнал регистрации КС'!G$6:G$40,'Журнал регистрации КС'!K$6:K$40,"Камчат*",'Журнал регистрации КС'!I$6:I$40,"1")+_xlfn.SUMIFS('Журнал регистрации КС'!G$6:G$40,'Журнал регистрации КС'!K$6:K$40,"Камчат*",'Журнал регистрации КС'!I$6:I$40,"1 с эл. 2 КС")</f>
        <v>0</v>
      </c>
      <c r="G39" s="54">
        <f>_xlfn.SUMIFS('Журнал регистрации КС'!H$6:H$40,'Журнал регистрации КС'!K$6:K$40,"Камчат*",'Журнал регистрации КС'!I$6:I$40,"1")+_xlfn.SUMIFS('Журнал регистрации КС'!H$6:H$40,'Журнал регистрации КС'!K$6:K$40,"Камчат*",'Журнал регистрации КС'!I$6:I$40,"1 с эл. 2 КС")</f>
        <v>0</v>
      </c>
      <c r="H39" s="50">
        <f>_xlfn.COUNTIFS('Журнал регистрации КС'!K$6:K$40,"Камчат*",'Журнал регистрации КС'!I$6:I$40,"2")+_xlfn.COUNTIFS('Журнал регистрации КС'!K$6:K$40,"Камчат*",'Журнал регистрации КС'!I$6:I$40,"2 с эл. 3 КС")</f>
        <v>0</v>
      </c>
      <c r="I39" s="54">
        <f>_xlfn.SUMIFS('Журнал регистрации КС'!G$6:G$40,'Журнал регистрации КС'!K$6:K$40,"Камчат*",'Журнал регистрации КС'!I$6:I$40,"2")+_xlfn.SUMIFS('Журнал регистрации КС'!H$6:H$40,'Журнал регистрации КС'!K$6:K$40,"Камчат*",'Журнал регистрации КС'!I$6:I$40,"2 с эл. 3 КС")</f>
        <v>0</v>
      </c>
      <c r="J39" s="54">
        <f>_xlfn.SUMIFS('Журнал регистрации КС'!H$6:H$40,'Журнал регистрации КС'!K$6:K$40,"Камчат*",'Журнал регистрации КС'!I$6:I$40,"2")+_xlfn.SUMIFS('Журнал регистрации КС'!H$6:H$40,'Журнал регистрации КС'!K$6:K$40,"Камчат*",'Журнал регистрации КС'!I$6:I$40,"2 с эл. 3 КС")</f>
        <v>0</v>
      </c>
      <c r="K39" s="50">
        <f>_xlfn.COUNTIFS('Журнал регистрации КС'!K$6:K$40,"Камчат*",'Журнал регистрации КС'!I$6:I$40,"3")</f>
        <v>0</v>
      </c>
      <c r="L39" s="50">
        <f>_xlfn.SUMIFS('Журнал регистрации КС'!G$6:G$40,'Журнал регистрации КС'!K$6:K$40,"Камчат*",'Журнал регистрации КС'!I$6:I$40,"3")</f>
        <v>0</v>
      </c>
      <c r="M39" s="50">
        <f>_xlfn.SUMIFS('Журнал регистрации КС'!H$6:H$40,'Журнал регистрации КС'!K$6:K$40,"Камчат*",'Журнал регистрации КС'!I$6:I$40,"3")</f>
        <v>0</v>
      </c>
      <c r="N39" s="225">
        <f>_xlfn.COUNTIFS('Журнал регистрации КС'!K$6:K$40,"Камчат*",'Журнал регистрации КС'!I$6:I$40,"4")</f>
        <v>0</v>
      </c>
      <c r="O39" s="225">
        <f>_xlfn.SUMIFS('Журнал регистрации КС'!G$6:G$40,'Журнал регистрации КС'!K$6:K$40,"Камчат*",'Журнал регистрации КС'!I$6:I$40,"4")</f>
        <v>0</v>
      </c>
      <c r="P39" s="225">
        <f>_xlfn.SUMIFS('Журнал регистрации КС'!H$6:H$40,'Журнал регистрации КС'!K$6:K$40,"Камчат*",'Журнал регистрации КС'!I$6:I$40,"4")</f>
        <v>0</v>
      </c>
      <c r="Q39" s="46">
        <f t="shared" si="1"/>
        <v>0</v>
      </c>
      <c r="R39" s="112">
        <f t="shared" si="2"/>
        <v>0</v>
      </c>
    </row>
    <row r="40" spans="1:18" ht="13.5" customHeight="1">
      <c r="A40" s="49" t="s">
        <v>23</v>
      </c>
      <c r="B40" s="50">
        <f>COUNTIF('Журнал регистрации НК'!K$6:K$305,"Карел*")</f>
        <v>0</v>
      </c>
      <c r="C40" s="50">
        <f>SUMIF('Журнал регистрации НК'!K$6:K$305,"Карел*",'Журнал регистрации НК'!G$6:G$305)</f>
        <v>0</v>
      </c>
      <c r="D40" s="50">
        <f>SUMIF('Журнал регистрации НК'!K$6:K$305,"Карел*",'Журнал регистрации НК'!H$6:H$305)</f>
        <v>0</v>
      </c>
      <c r="E40" s="50">
        <f>_xlfn.COUNTIFS('Журнал регистрации КС'!K$6:K$40,"Карел*",'Журнал регистрации КС'!I$6:I$40,"1")+_xlfn.COUNTIFS('Журнал регистрации КС'!K$6:K$40,"Карел*",'Журнал регистрации КС'!I$6:I$40,"1 с эл. 2 КС")</f>
        <v>0</v>
      </c>
      <c r="F40" s="54">
        <f>_xlfn.SUMIFS('Журнал регистрации КС'!G$6:G$40,'Журнал регистрации КС'!K$6:K$40,"Карел*",'Журнал регистрации КС'!I$6:I$40,"1")+_xlfn.SUMIFS('Журнал регистрации КС'!G$6:G$40,'Журнал регистрации КС'!K$6:K$40,"Карел*",'Журнал регистрации КС'!I$6:I$40,"1 с эл. 2 КС")</f>
        <v>0</v>
      </c>
      <c r="G40" s="54">
        <f>_xlfn.SUMIFS('Журнал регистрации КС'!H$6:H$40,'Журнал регистрации КС'!K$6:K$40,"Карел*",'Журнал регистрации КС'!I$6:I$40,"1")+_xlfn.SUMIFS('Журнал регистрации КС'!H$6:H$40,'Журнал регистрации КС'!K$6:K$40,"Карел*",'Журнал регистрации КС'!I$6:I$40,"1 с эл. 2 КС")</f>
        <v>0</v>
      </c>
      <c r="H40" s="50">
        <f>_xlfn.COUNTIFS('Журнал регистрации КС'!K$6:K$40,"Карел*",'Журнал регистрации КС'!I$6:I$40,"2")+_xlfn.COUNTIFS('Журнал регистрации КС'!K$6:K$40,"Карел*",'Журнал регистрации КС'!I$6:I$40,"2 с эл. 3 КС")</f>
        <v>0</v>
      </c>
      <c r="I40" s="54">
        <f>_xlfn.SUMIFS('Журнал регистрации КС'!G$6:G$40,'Журнал регистрации КС'!K$6:K$40,"Карел*",'Журнал регистрации КС'!I$6:I$40,"2")+_xlfn.SUMIFS('Журнал регистрации КС'!H$6:H$40,'Журнал регистрации КС'!K$6:K$40,"Карел*",'Журнал регистрации КС'!I$6:I$40,"2 с эл. 3 КС")</f>
        <v>0</v>
      </c>
      <c r="J40" s="54">
        <f>_xlfn.SUMIFS('Журнал регистрации КС'!H$6:H$40,'Журнал регистрации КС'!K$6:K$40,"Карел*",'Журнал регистрации КС'!I$6:I$40,"2")+_xlfn.SUMIFS('Журнал регистрации КС'!H$6:H$40,'Журнал регистрации КС'!K$6:K$40,"Карел*",'Журнал регистрации КС'!I$6:I$40,"2 с эл. 3 КС")</f>
        <v>0</v>
      </c>
      <c r="K40" s="50">
        <f>_xlfn.COUNTIFS('Журнал регистрации КС'!K$6:K$40,"Карел*",'Журнал регистрации КС'!I$6:I$40,"3")</f>
        <v>0</v>
      </c>
      <c r="L40" s="50">
        <f>_xlfn.SUMIFS('Журнал регистрации КС'!G$6:G$40,'Журнал регистрации КС'!K$6:K$40,"Карел*",'Журнал регистрации КС'!I$6:I$40,"3")</f>
        <v>0</v>
      </c>
      <c r="M40" s="50">
        <f>_xlfn.SUMIFS('Журнал регистрации КС'!H$6:H$40,'Журнал регистрации КС'!K$6:K$40,"Карел*",'Журнал регистрации КС'!I$6:I$40,"3")</f>
        <v>0</v>
      </c>
      <c r="N40" s="225">
        <f>_xlfn.COUNTIFS('Журнал регистрации КС'!K$6:K$40,"Карел*",'Журнал регистрации КС'!I$6:I$40,"4")</f>
        <v>0</v>
      </c>
      <c r="O40" s="225">
        <f>_xlfn.SUMIFS('Журнал регистрации КС'!G$6:G$40,'Журнал регистрации КС'!K$6:K$40,"Карел*",'Журнал регистрации КС'!I$6:I$40,"4")</f>
        <v>0</v>
      </c>
      <c r="P40" s="225">
        <f>_xlfn.SUMIFS('Журнал регистрации КС'!H$6:H$40,'Журнал регистрации КС'!K$6:K$40,"Карел*",'Журнал регистрации КС'!I$6:I$40,"4")</f>
        <v>0</v>
      </c>
      <c r="Q40" s="46">
        <f t="shared" si="1"/>
        <v>0</v>
      </c>
      <c r="R40" s="112">
        <f t="shared" si="2"/>
        <v>0</v>
      </c>
    </row>
    <row r="41" spans="1:18" ht="13.5" customHeight="1">
      <c r="A41" s="49" t="s">
        <v>26</v>
      </c>
      <c r="B41" s="50">
        <f>COUNTIF('Журнал регистрации НК'!K$6:K$305,"Карпат*")</f>
        <v>0</v>
      </c>
      <c r="C41" s="50">
        <f>SUMIF('Журнал регистрации НК'!K$6:K$305,"Карпат*",'Журнал регистрации НК'!G$6:G$305)</f>
        <v>0</v>
      </c>
      <c r="D41" s="50">
        <f>SUMIF('Журнал регистрации НК'!K$6:K$305,"Карпат*",'Журнал регистрации НК'!H$6:H$305)</f>
        <v>0</v>
      </c>
      <c r="E41" s="50">
        <f>_xlfn.COUNTIFS('Журнал регистрации КС'!K$6:K$40,"Карпат*",'Журнал регистрации КС'!I$6:I$40,"1")+_xlfn.COUNTIFS('Журнал регистрации КС'!K$6:K$40,"Карпат*",'Журнал регистрации КС'!I$6:I$40,"1 с эл. 2 КС")</f>
        <v>0</v>
      </c>
      <c r="F41" s="54">
        <f>_xlfn.SUMIFS('Журнал регистрации КС'!G$6:G$40,'Журнал регистрации КС'!K$6:K$40,"Карпат*",'Журнал регистрации КС'!I$6:I$40,"1")+_xlfn.SUMIFS('Журнал регистрации КС'!G$6:G$40,'Журнал регистрации КС'!K$6:K$40,"Карпат*",'Журнал регистрации КС'!I$6:I$40,"1 с эл. 2 КС")</f>
        <v>0</v>
      </c>
      <c r="G41" s="54">
        <f>_xlfn.SUMIFS('Журнал регистрации КС'!H$6:H$40,'Журнал регистрации КС'!K$6:K$40,"Карпат*",'Журнал регистрации КС'!I$6:I$40,"1")+_xlfn.SUMIFS('Журнал регистрации КС'!H$6:H$40,'Журнал регистрации КС'!K$6:K$40,"Карпат*",'Журнал регистрации КС'!I$6:I$40,"1 с эл. 2 КС")</f>
        <v>0</v>
      </c>
      <c r="H41" s="50">
        <f>_xlfn.COUNTIFS('Журнал регистрации КС'!K$6:K$40,"Карпат*",'Журнал регистрации КС'!I$6:I$40,"2")+_xlfn.COUNTIFS('Журнал регистрации КС'!K$6:K$40,"Карпат*",'Журнал регистрации КС'!I$6:I$40,"2 с эл. 3 КС")</f>
        <v>0</v>
      </c>
      <c r="I41" s="54">
        <f>_xlfn.SUMIFS('Журнал регистрации КС'!G$6:G$40,'Журнал регистрации КС'!K$6:K$40,"Карпат*",'Журнал регистрации КС'!I$6:I$40,"2")+_xlfn.SUMIFS('Журнал регистрации КС'!H$6:H$40,'Журнал регистрации КС'!K$6:K$40,"Карпат*",'Журнал регистрации КС'!I$6:I$40,"2 с эл. 3 КС")</f>
        <v>0</v>
      </c>
      <c r="J41" s="54">
        <f>_xlfn.SUMIFS('Журнал регистрации КС'!H$6:H$40,'Журнал регистрации КС'!K$6:K$40,"Карпат*",'Журнал регистрации КС'!I$6:I$40,"2")+_xlfn.SUMIFS('Журнал регистрации КС'!H$6:H$40,'Журнал регистрации КС'!K$6:K$40,"Карпат*",'Журнал регистрации КС'!I$6:I$40,"2 с эл. 3 КС")</f>
        <v>0</v>
      </c>
      <c r="K41" s="50">
        <f>_xlfn.COUNTIFS('Журнал регистрации КС'!K$6:K$40,"Карпат*",'Журнал регистрации КС'!I$6:I$40,"3")</f>
        <v>0</v>
      </c>
      <c r="L41" s="50">
        <f>_xlfn.SUMIFS('Журнал регистрации КС'!G$6:G$40,'Журнал регистрации КС'!K$6:K$40,"Карпат*",'Журнал регистрации КС'!I$6:I$40,"3")</f>
        <v>0</v>
      </c>
      <c r="M41" s="50">
        <f>_xlfn.SUMIFS('Журнал регистрации КС'!H$6:H$40,'Журнал регистрации КС'!K$6:K$40,"Карпат*",'Журнал регистрации КС'!I$6:I$40,"3")</f>
        <v>0</v>
      </c>
      <c r="N41" s="225">
        <f>_xlfn.COUNTIFS('Журнал регистрации КС'!K$6:K$40,"Карпат*",'Журнал регистрации КС'!I$6:I$40,"4")</f>
        <v>0</v>
      </c>
      <c r="O41" s="225">
        <f>_xlfn.SUMIFS('Журнал регистрации КС'!G$6:G$40,'Журнал регистрации КС'!K$6:K$40,"Карпат*",'Журнал регистрации КС'!I$6:I$40,"4")</f>
        <v>0</v>
      </c>
      <c r="P41" s="225">
        <f>_xlfn.SUMIFS('Журнал регистрации КС'!H$6:H$40,'Журнал регистрации КС'!K$6:K$40,"Карпат*",'Журнал регистрации КС'!I$6:I$40,"4")</f>
        <v>0</v>
      </c>
      <c r="Q41" s="46">
        <f t="shared" si="1"/>
        <v>0</v>
      </c>
      <c r="R41" s="112">
        <f t="shared" si="2"/>
        <v>0</v>
      </c>
    </row>
    <row r="42" spans="1:18" ht="13.5" customHeight="1">
      <c r="A42" s="49" t="s">
        <v>79</v>
      </c>
      <c r="B42" s="50">
        <f>COUNTIF('Журнал регистрации НК'!K$6:K$305,"Кодар*")</f>
        <v>0</v>
      </c>
      <c r="C42" s="50">
        <f>SUMIF('Журнал регистрации НК'!K$6:K$305,"Кодар*",'Журнал регистрации НК'!G$6:G$305)</f>
        <v>0</v>
      </c>
      <c r="D42" s="50">
        <f>SUMIF('Журнал регистрации НК'!K$6:K$305,"Кодар*",'Журнал регистрации НК'!H$6:H$305)</f>
        <v>0</v>
      </c>
      <c r="E42" s="50">
        <f>_xlfn.COUNTIFS('Журнал регистрации КС'!K$6:K$40,"Кодар*",'Журнал регистрации КС'!I$6:I$40,"1")+_xlfn.COUNTIFS('Журнал регистрации КС'!K$6:K$40,"Кодар*",'Журнал регистрации КС'!I$6:I$40,"1 с эл. 2 КС")</f>
        <v>0</v>
      </c>
      <c r="F42" s="54">
        <f>_xlfn.SUMIFS('Журнал регистрации КС'!G$6:G$40,'Журнал регистрации КС'!K$6:K$40,"Кодар*",'Журнал регистрации КС'!I$6:I$40,"1")+_xlfn.SUMIFS('Журнал регистрации КС'!G$6:G$40,'Журнал регистрации КС'!K$6:K$40,"Кодар*",'Журнал регистрации КС'!I$6:I$40,"1 с эл. 2 КС")</f>
        <v>0</v>
      </c>
      <c r="G42" s="54">
        <f>_xlfn.SUMIFS('Журнал регистрации КС'!H$6:H$40,'Журнал регистрации КС'!K$6:K$40,"Кодар*",'Журнал регистрации КС'!I$6:I$40,"1")+_xlfn.SUMIFS('Журнал регистрации КС'!H$6:H$40,'Журнал регистрации КС'!K$6:K$40,"Кодар*",'Журнал регистрации КС'!I$6:I$40,"1 с эл. 2 КС")</f>
        <v>0</v>
      </c>
      <c r="H42" s="50">
        <f>_xlfn.COUNTIFS('Журнал регистрации КС'!K$6:K$40,"Кодар*",'Журнал регистрации КС'!I$6:I$40,"2")+_xlfn.COUNTIFS('Журнал регистрации КС'!K$6:K$40,"Кодар*",'Журнал регистрации КС'!I$6:I$40,"2 с эл. 3 КС")</f>
        <v>0</v>
      </c>
      <c r="I42" s="54">
        <f>_xlfn.SUMIFS('Журнал регистрации КС'!G$6:G$40,'Журнал регистрации КС'!K$6:K$40,"Кодар*",'Журнал регистрации КС'!I$6:I$40,"2")+_xlfn.SUMIFS('Журнал регистрации КС'!H$6:H$40,'Журнал регистрации КС'!K$6:K$40,"Кодар*",'Журнал регистрации КС'!I$6:I$40,"2 с эл. 3 КС")</f>
        <v>0</v>
      </c>
      <c r="J42" s="54">
        <f>_xlfn.SUMIFS('Журнал регистрации КС'!H$6:H$40,'Журнал регистрации КС'!K$6:K$40,"Кодар*",'Журнал регистрации КС'!I$6:I$40,"2")+_xlfn.SUMIFS('Журнал регистрации КС'!H$6:H$40,'Журнал регистрации КС'!K$6:K$40,"Кодар*",'Журнал регистрации КС'!I$6:I$40,"2 с эл. 3 КС")</f>
        <v>0</v>
      </c>
      <c r="K42" s="50">
        <f>_xlfn.COUNTIFS('Журнал регистрации КС'!K$6:K$40,"Кодар*",'Журнал регистрации КС'!I$6:I$40,"3")</f>
        <v>0</v>
      </c>
      <c r="L42" s="50">
        <f>_xlfn.SUMIFS('Журнал регистрации КС'!G$6:G$40,'Журнал регистрации КС'!K$6:K$40,"Кодар*",'Журнал регистрации КС'!I$6:I$40,"3")</f>
        <v>0</v>
      </c>
      <c r="M42" s="50">
        <f>_xlfn.SUMIFS('Журнал регистрации КС'!H$6:H$40,'Журнал регистрации КС'!K$6:K$40,"Кодар*",'Журнал регистрации КС'!I$6:I$40,"3")</f>
        <v>0</v>
      </c>
      <c r="N42" s="225">
        <f>_xlfn.COUNTIFS('Журнал регистрации КС'!K$6:K$40,"Кодар*",'Журнал регистрации КС'!I$6:I$40,"4")</f>
        <v>0</v>
      </c>
      <c r="O42" s="225">
        <f>_xlfn.SUMIFS('Журнал регистрации КС'!G$6:G$40,'Журнал регистрации КС'!K$6:K$40,"Кодар*",'Журнал регистрации КС'!I$6:I$40,"4")</f>
        <v>0</v>
      </c>
      <c r="P42" s="225">
        <f>_xlfn.SUMIFS('Журнал регистрации КС'!H$6:H$40,'Журнал регистрации КС'!K$6:K$40,"Кодар*",'Журнал регистрации КС'!I$6:I$40,"4")</f>
        <v>0</v>
      </c>
      <c r="Q42" s="46">
        <f t="shared" si="1"/>
        <v>0</v>
      </c>
      <c r="R42" s="112">
        <f t="shared" si="2"/>
        <v>0</v>
      </c>
    </row>
    <row r="43" spans="1:18" ht="13.5" customHeight="1">
      <c r="A43" s="49" t="s">
        <v>22</v>
      </c>
      <c r="B43" s="50">
        <f>COUNTIF('Журнал регистрации НК'!K$6:K$305,"Кольский*")</f>
        <v>0</v>
      </c>
      <c r="C43" s="50">
        <f>SUMIF('Журнал регистрации НК'!K$6:K$305,"Кольский*",'Журнал регистрации НК'!G$6:G$305)</f>
        <v>0</v>
      </c>
      <c r="D43" s="50">
        <f>SUMIF('Журнал регистрации НК'!K$6:K$305,"Кольский*",'Журнал регистрации НК'!H$6:H$305)</f>
        <v>0</v>
      </c>
      <c r="E43" s="50">
        <f>_xlfn.COUNTIFS('Журнал регистрации КС'!K$6:K$40,"Кольский*",'Журнал регистрации КС'!I$6:I$40,"1")+_xlfn.COUNTIFS('Журнал регистрации КС'!K$6:K$40,"Кольский*",'Журнал регистрации КС'!I$6:I$40,"1 с эл. 2 КС")</f>
        <v>0</v>
      </c>
      <c r="F43" s="54">
        <f>_xlfn.SUMIFS('Журнал регистрации КС'!G$6:G$40,'Журнал регистрации КС'!K$6:K$40,"Кольский*",'Журнал регистрации КС'!I$6:I$40,"1")+_xlfn.SUMIFS('Журнал регистрации КС'!G$6:G$40,'Журнал регистрации КС'!K$6:K$40,"Кольский*",'Журнал регистрации КС'!I$6:I$40,"1 с эл. 2 КС")</f>
        <v>0</v>
      </c>
      <c r="G43" s="54">
        <f>_xlfn.SUMIFS('Журнал регистрации КС'!H$6:H$40,'Журнал регистрации КС'!K$6:K$40,"Кольский*",'Журнал регистрации КС'!I$6:I$40,"1")+_xlfn.SUMIFS('Журнал регистрации КС'!H$6:H$40,'Журнал регистрации КС'!K$6:K$40,"Кольский*",'Журнал регистрации КС'!I$6:I$40,"1 с эл. 2 КС")</f>
        <v>0</v>
      </c>
      <c r="H43" s="50">
        <f>_xlfn.COUNTIFS('Журнал регистрации КС'!K$6:K$40,"Кольский*",'Журнал регистрации КС'!I$6:I$40,"2")+_xlfn.COUNTIFS('Журнал регистрации КС'!K$6:K$40,"Кольский*",'Журнал регистрации КС'!I$6:I$40,"2 с эл. 3 КС")</f>
        <v>0</v>
      </c>
      <c r="I43" s="54">
        <f>_xlfn.SUMIFS('Журнал регистрации КС'!G$6:G$40,'Журнал регистрации КС'!K$6:K$40,"Кольский*",'Журнал регистрации КС'!I$6:I$40,"2")+_xlfn.SUMIFS('Журнал регистрации КС'!H$6:H$40,'Журнал регистрации КС'!K$6:K$40,"Кольский*",'Журнал регистрации КС'!I$6:I$40,"2 с эл. 3 КС")</f>
        <v>0</v>
      </c>
      <c r="J43" s="54">
        <f>_xlfn.SUMIFS('Журнал регистрации КС'!H$6:H$40,'Журнал регистрации КС'!K$6:K$40,"Кольский*",'Журнал регистрации КС'!I$6:I$40,"2")+_xlfn.SUMIFS('Журнал регистрации КС'!H$6:H$40,'Журнал регистрации КС'!K$6:K$40,"Кольский*",'Журнал регистрации КС'!I$6:I$40,"2 с эл. 3 КС")</f>
        <v>0</v>
      </c>
      <c r="K43" s="50">
        <f>_xlfn.COUNTIFS('Журнал регистрации КС'!K$6:K$40,"Кольский*",'Журнал регистрации КС'!I$6:I$40,"3")</f>
        <v>0</v>
      </c>
      <c r="L43" s="50">
        <f>_xlfn.SUMIFS('Журнал регистрации КС'!G$6:G$40,'Журнал регистрации КС'!K$6:K$40,"Кольский*",'Журнал регистрации КС'!I$6:I$40,"3")</f>
        <v>0</v>
      </c>
      <c r="M43" s="50">
        <f>_xlfn.SUMIFS('Журнал регистрации КС'!H$6:H$40,'Журнал регистрации КС'!K$6:K$40,"Кольский*",'Журнал регистрации КС'!I$6:I$40,"3")</f>
        <v>0</v>
      </c>
      <c r="N43" s="225">
        <f>_xlfn.COUNTIFS('Журнал регистрации КС'!K$6:K$40,"Кольский*",'Журнал регистрации КС'!I$6:I$40,"4")</f>
        <v>0</v>
      </c>
      <c r="O43" s="225">
        <f>_xlfn.SUMIFS('Журнал регистрации КС'!G$6:G$40,'Журнал регистрации КС'!K$6:K$40,"Кольский*",'Журнал регистрации КС'!I$6:I$40,"4")</f>
        <v>0</v>
      </c>
      <c r="P43" s="225">
        <f>_xlfn.SUMIFS('Журнал регистрации КС'!H$6:H$40,'Журнал регистрации КС'!K$6:K$40,"Кольский*",'Журнал регистрации КС'!I$6:I$40,"4")</f>
        <v>0</v>
      </c>
      <c r="Q43" s="46">
        <f t="shared" si="1"/>
        <v>0</v>
      </c>
      <c r="R43" s="112">
        <f t="shared" si="2"/>
        <v>0</v>
      </c>
    </row>
    <row r="44" spans="1:18" ht="13.5" customHeight="1">
      <c r="A44" s="49" t="s">
        <v>27</v>
      </c>
      <c r="B44" s="50">
        <f>COUNTIF('Журнал регистрации НК'!K$6:K$305,"Кры*")</f>
        <v>0</v>
      </c>
      <c r="C44" s="50">
        <f>SUMIF('Журнал регистрации НК'!K$6:K$305,"Кры*",'Журнал регистрации НК'!G$6:G$305)</f>
        <v>0</v>
      </c>
      <c r="D44" s="50">
        <f>SUMIF('Журнал регистрации НК'!K$6:K$305,"Кры*",'Журнал регистрации НК'!H$6:H$305)</f>
        <v>0</v>
      </c>
      <c r="E44" s="50">
        <f>_xlfn.COUNTIFS('Журнал регистрации КС'!K$6:K$40,"Кры*",'Журнал регистрации КС'!I$6:I$40,"1")+_xlfn.COUNTIFS('Журнал регистрации КС'!K$6:K$40,"Кры*",'Журнал регистрации КС'!I$6:I$40,"1 с эл. 2 КС")</f>
        <v>0</v>
      </c>
      <c r="F44" s="54">
        <f>_xlfn.SUMIFS('Журнал регистрации КС'!G$6:G$40,'Журнал регистрации КС'!K$6:K$40,"Кры*",'Журнал регистрации КС'!I$6:I$40,"1")+_xlfn.SUMIFS('Журнал регистрации КС'!G$6:G$40,'Журнал регистрации КС'!K$6:K$40,"Кры*",'Журнал регистрации КС'!I$6:I$40,"1 с эл. 2 КС")</f>
        <v>0</v>
      </c>
      <c r="G44" s="54">
        <f>_xlfn.SUMIFS('Журнал регистрации КС'!H$6:H$40,'Журнал регистрации КС'!K$6:K$40,"Кры*",'Журнал регистрации КС'!I$6:I$40,"1")+_xlfn.SUMIFS('Журнал регистрации КС'!H$6:H$40,'Журнал регистрации КС'!K$6:K$40,"Кры*",'Журнал регистрации КС'!I$6:I$40,"1 с эл. 2 КС")</f>
        <v>0</v>
      </c>
      <c r="H44" s="50">
        <f>_xlfn.COUNTIFS('Журнал регистрации КС'!K$6:K$40,"Кры*",'Журнал регистрации КС'!I$6:I$40,"2")+_xlfn.COUNTIFS('Журнал регистрации КС'!K$6:K$40,"Кры*",'Журнал регистрации КС'!I$6:I$40,"2 с эл. 3 КС")</f>
        <v>0</v>
      </c>
      <c r="I44" s="54">
        <f>_xlfn.SUMIFS('Журнал регистрации КС'!G$6:G$40,'Журнал регистрации КС'!K$6:K$40,"Кры*",'Журнал регистрации КС'!I$6:I$40,"2")+_xlfn.SUMIFS('Журнал регистрации КС'!H$6:H$40,'Журнал регистрации КС'!K$6:K$40,"Кры*",'Журнал регистрации КС'!I$6:I$40,"2 с эл. 3 КС")</f>
        <v>0</v>
      </c>
      <c r="J44" s="54">
        <f>_xlfn.SUMIFS('Журнал регистрации КС'!H$6:H$40,'Журнал регистрации КС'!K$6:K$40,"Кры*",'Журнал регистрации КС'!I$6:I$40,"2")+_xlfn.SUMIFS('Журнал регистрации КС'!H$6:H$40,'Журнал регистрации КС'!K$6:K$40,"Кры*",'Журнал регистрации КС'!I$6:I$40,"2 с эл. 3 КС")</f>
        <v>0</v>
      </c>
      <c r="K44" s="50">
        <f>_xlfn.COUNTIFS('Журнал регистрации КС'!K$6:K$40,"Кры*",'Журнал регистрации КС'!I$6:I$40,"3")</f>
        <v>0</v>
      </c>
      <c r="L44" s="50">
        <f>_xlfn.SUMIFS('Журнал регистрации КС'!G$6:G$40,'Журнал регистрации КС'!K$6:K$40,"Кры*",'Журнал регистрации КС'!I$6:I$40,"3")</f>
        <v>0</v>
      </c>
      <c r="M44" s="50">
        <f>_xlfn.SUMIFS('Журнал регистрации КС'!H$6:H$40,'Журнал регистрации КС'!K$6:K$40,"Кры*",'Журнал регистрации КС'!I$6:I$40,"3")</f>
        <v>0</v>
      </c>
      <c r="N44" s="225">
        <f>_xlfn.COUNTIFS('Журнал регистрации КС'!K$6:K$40,"Кры*",'Журнал регистрации КС'!I$6:I$40,"4")</f>
        <v>0</v>
      </c>
      <c r="O44" s="225">
        <f>_xlfn.SUMIFS('Журнал регистрации КС'!G$6:G$40,'Журнал регистрации КС'!K$6:K$40,"Кры*",'Журнал регистрации КС'!I$6:I$40,"4")</f>
        <v>0</v>
      </c>
      <c r="P44" s="225">
        <f>_xlfn.SUMIFS('Журнал регистрации КС'!H$6:H$40,'Журнал регистрации КС'!K$6:K$40,"Кры*",'Журнал регистрации КС'!I$6:I$40,"4")</f>
        <v>0</v>
      </c>
      <c r="Q44" s="46">
        <f t="shared" si="1"/>
        <v>0</v>
      </c>
      <c r="R44" s="112">
        <f t="shared" si="2"/>
        <v>0</v>
      </c>
    </row>
    <row r="45" spans="1:18" ht="13.5" customHeight="1">
      <c r="A45" s="49" t="s">
        <v>74</v>
      </c>
      <c r="B45" s="50">
        <f>COUNTIF('Журнал регистрации НК'!K$6:K$305,"Курильс*")</f>
        <v>0</v>
      </c>
      <c r="C45" s="50">
        <f>SUMIF('Журнал регистрации НК'!K$6:K$305,"Курильс*",'Журнал регистрации НК'!G$6:G$305)</f>
        <v>0</v>
      </c>
      <c r="D45" s="50">
        <f>SUMIF('Журнал регистрации НК'!K$6:K$305,"Курильс*",'Журнал регистрации НК'!H$6:H$305)</f>
        <v>0</v>
      </c>
      <c r="E45" s="50">
        <f>_xlfn.COUNTIFS('Журнал регистрации КС'!K$6:K$40,"Курильс*",'Журнал регистрации КС'!I$6:I$40,"1")+_xlfn.COUNTIFS('Журнал регистрации КС'!K$6:K$40,"Курильс*",'Журнал регистрации КС'!I$6:I$40,"1 с эл. 2 КС")</f>
        <v>0</v>
      </c>
      <c r="F45" s="54">
        <f>_xlfn.SUMIFS('Журнал регистрации КС'!G$6:G$40,'Журнал регистрации КС'!K$6:K$40,"Курильс*",'Журнал регистрации КС'!I$6:I$40,"1")+_xlfn.SUMIFS('Журнал регистрации КС'!G$6:G$40,'Журнал регистрации КС'!K$6:K$40,"Курильс*",'Журнал регистрации КС'!I$6:I$40,"1 с эл. 2 КС")</f>
        <v>0</v>
      </c>
      <c r="G45" s="54">
        <f>_xlfn.SUMIFS('Журнал регистрации КС'!H$6:H$40,'Журнал регистрации КС'!K$6:K$40,"Курильс*",'Журнал регистрации КС'!I$6:I$40,"1")+_xlfn.SUMIFS('Журнал регистрации КС'!H$6:H$40,'Журнал регистрации КС'!K$6:K$40,"Курильс*",'Журнал регистрации КС'!I$6:I$40,"1 с эл. 2 КС")</f>
        <v>0</v>
      </c>
      <c r="H45" s="50">
        <f>_xlfn.COUNTIFS('Журнал регистрации КС'!K$6:K$40,"Курильс*",'Журнал регистрации КС'!I$6:I$40,"2")+_xlfn.COUNTIFS('Журнал регистрации КС'!K$6:K$40,"Курильс*",'Журнал регистрации КС'!I$6:I$40,"2 с эл. 3 КС")</f>
        <v>0</v>
      </c>
      <c r="I45" s="54">
        <f>_xlfn.SUMIFS('Журнал регистрации КС'!G$6:G$40,'Журнал регистрации КС'!K$6:K$40,"Курильс*",'Журнал регистрации КС'!I$6:I$40,"2")+_xlfn.SUMIFS('Журнал регистрации КС'!H$6:H$40,'Журнал регистрации КС'!K$6:K$40,"Курильс*",'Журнал регистрации КС'!I$6:I$40,"2 с эл. 3 КС")</f>
        <v>0</v>
      </c>
      <c r="J45" s="54">
        <f>_xlfn.SUMIFS('Журнал регистрации КС'!H$6:H$40,'Журнал регистрации КС'!K$6:K$40,"Курильс*",'Журнал регистрации КС'!I$6:I$40,"2")+_xlfn.SUMIFS('Журнал регистрации КС'!H$6:H$40,'Журнал регистрации КС'!K$6:K$40,"Курильс*",'Журнал регистрации КС'!I$6:I$40,"2 с эл. 3 КС")</f>
        <v>0</v>
      </c>
      <c r="K45" s="50">
        <f>_xlfn.COUNTIFS('Журнал регистрации КС'!K$6:K$40,"Курильс*",'Журнал регистрации КС'!I$6:I$40,"3")</f>
        <v>0</v>
      </c>
      <c r="L45" s="50">
        <f>_xlfn.SUMIFS('Журнал регистрации КС'!G$6:G$40,'Журнал регистрации КС'!K$6:K$40,"Курильс*",'Журнал регистрации КС'!I$6:I$40,"3")</f>
        <v>0</v>
      </c>
      <c r="M45" s="50">
        <f>_xlfn.SUMIFS('Журнал регистрации КС'!H$6:H$40,'Журнал регистрации КС'!K$6:K$40,"Курильс*",'Журнал регистрации КС'!I$6:I$40,"3")</f>
        <v>0</v>
      </c>
      <c r="N45" s="225">
        <f>_xlfn.COUNTIFS('Журнал регистрации КС'!K$6:K$40,"Курильс*",'Журнал регистрации КС'!I$6:I$40,"4")</f>
        <v>0</v>
      </c>
      <c r="O45" s="225">
        <f>_xlfn.SUMIFS('Журнал регистрации КС'!G$6:G$40,'Журнал регистрации КС'!K$6:K$40,"Курильс*",'Журнал регистрации КС'!I$6:I$40,"4")</f>
        <v>0</v>
      </c>
      <c r="P45" s="225">
        <f>_xlfn.SUMIFS('Журнал регистрации КС'!H$6:H$40,'Журнал регистрации КС'!K$6:K$40,"Курильс*",'Журнал регистрации КС'!I$6:I$40,"4")</f>
        <v>0</v>
      </c>
      <c r="Q45" s="46">
        <f t="shared" si="1"/>
        <v>0</v>
      </c>
      <c r="R45" s="112">
        <f t="shared" si="2"/>
        <v>0</v>
      </c>
    </row>
    <row r="46" spans="1:18" ht="13.5" customHeight="1">
      <c r="A46" s="49" t="s">
        <v>25</v>
      </c>
      <c r="B46" s="50">
        <f>COUNTIF('Журнал регистрации НК'!K$6:K$305,"Ленингр*")</f>
        <v>0</v>
      </c>
      <c r="C46" s="50">
        <f>SUMIF('Журнал регистрации НК'!K$6:K$305,"Ленингр*",'Журнал регистрации НК'!G$6:G$305)</f>
        <v>0</v>
      </c>
      <c r="D46" s="50">
        <f>SUMIF('Журнал регистрации НК'!K$6:K$305,"Ленингр*",'Журнал регистрации НК'!H$6:H$305)</f>
        <v>0</v>
      </c>
      <c r="E46" s="50">
        <f>_xlfn.COUNTIFS('Журнал регистрации КС'!K$6:K$40,"Ленингр*",'Журнал регистрации КС'!I$6:I$40,"1")+_xlfn.COUNTIFS('Журнал регистрации КС'!K$6:K$40,"Ленингр*",'Журнал регистрации КС'!I$6:I$40,"1 с эл. 2 КС")</f>
        <v>0</v>
      </c>
      <c r="F46" s="54">
        <f>_xlfn.SUMIFS('Журнал регистрации КС'!G$6:G$40,'Журнал регистрации КС'!K$6:K$40,"Ленингр*",'Журнал регистрации КС'!I$6:I$40,"1")+_xlfn.SUMIFS('Журнал регистрации КС'!G$6:G$40,'Журнал регистрации КС'!K$6:K$40,"Ленингр*",'Журнал регистрации КС'!I$6:I$40,"1 с эл. 2 КС")</f>
        <v>0</v>
      </c>
      <c r="G46" s="54">
        <f>_xlfn.SUMIFS('Журнал регистрации КС'!H$6:H$40,'Журнал регистрации КС'!K$6:K$40,"Ленингр*",'Журнал регистрации КС'!I$6:I$40,"1")+_xlfn.SUMIFS('Журнал регистрации КС'!H$6:H$40,'Журнал регистрации КС'!K$6:K$40,"Ленингр*",'Журнал регистрации КС'!I$6:I$40,"1 с эл. 2 КС")</f>
        <v>0</v>
      </c>
      <c r="H46" s="50">
        <f>_xlfn.COUNTIFS('Журнал регистрации КС'!K$6:K$40,"Ленингр*",'Журнал регистрации КС'!I$6:I$40,"2")+_xlfn.COUNTIFS('Журнал регистрации КС'!K$6:K$40,"Ленингр*",'Журнал регистрации КС'!I$6:I$40,"2 с эл. 3 КС")</f>
        <v>0</v>
      </c>
      <c r="I46" s="54">
        <f>_xlfn.SUMIFS('Журнал регистрации КС'!G$6:G$40,'Журнал регистрации КС'!K$6:K$40,"Ленингр*",'Журнал регистрации КС'!I$6:I$40,"2")+_xlfn.SUMIFS('Журнал регистрации КС'!H$6:H$40,'Журнал регистрации КС'!K$6:K$40,"Ленингр*",'Журнал регистрации КС'!I$6:I$40,"2 с эл. 3 КС")</f>
        <v>0</v>
      </c>
      <c r="J46" s="54">
        <f>_xlfn.SUMIFS('Журнал регистрации КС'!H$6:H$40,'Журнал регистрации КС'!K$6:K$40,"Ленингр*",'Журнал регистрации КС'!I$6:I$40,"2")+_xlfn.SUMIFS('Журнал регистрации КС'!H$6:H$40,'Журнал регистрации КС'!K$6:K$40,"Ленингр*",'Журнал регистрации КС'!I$6:I$40,"2 с эл. 3 КС")</f>
        <v>0</v>
      </c>
      <c r="K46" s="50">
        <f>_xlfn.COUNTIFS('Журнал регистрации КС'!K$6:K$40,"Ленингр*",'Журнал регистрации КС'!I$6:I$40,"3")</f>
        <v>0</v>
      </c>
      <c r="L46" s="50">
        <f>_xlfn.SUMIFS('Журнал регистрации КС'!G$6:G$40,'Журнал регистрации КС'!K$6:K$40,"Ленингр*",'Журнал регистрации КС'!I$6:I$40,"3")</f>
        <v>0</v>
      </c>
      <c r="M46" s="50">
        <f>_xlfn.SUMIFS('Журнал регистрации КС'!H$6:H$40,'Журнал регистрации КС'!K$6:K$40,"Ленингр*",'Журнал регистрации КС'!I$6:I$40,"3")</f>
        <v>0</v>
      </c>
      <c r="N46" s="225">
        <f>_xlfn.COUNTIFS('Журнал регистрации КС'!K$6:K$40,"Ленингр*",'Журнал регистрации КС'!I$6:I$40,"4")</f>
        <v>0</v>
      </c>
      <c r="O46" s="225">
        <f>_xlfn.SUMIFS('Журнал регистрации КС'!G$6:G$40,'Журнал регистрации КС'!K$6:K$40,"Ленингр*",'Журнал регистрации КС'!I$6:I$40,"4")</f>
        <v>0</v>
      </c>
      <c r="P46" s="225">
        <f>_xlfn.SUMIFS('Журнал регистрации КС'!H$6:H$40,'Журнал регистрации КС'!K$6:K$40,"Ленингр*",'Журнал регистрации КС'!I$6:I$40,"4")</f>
        <v>0</v>
      </c>
      <c r="Q46" s="46">
        <f t="shared" si="1"/>
        <v>0</v>
      </c>
      <c r="R46" s="112">
        <f t="shared" si="2"/>
        <v>0</v>
      </c>
    </row>
    <row r="47" spans="1:18" ht="13.5" customHeight="1">
      <c r="A47" s="49" t="s">
        <v>62</v>
      </c>
      <c r="B47" s="50">
        <f>COUNTIF('Журнал регистрации НК'!K$6:K$305,"Матч*")</f>
        <v>0</v>
      </c>
      <c r="C47" s="50">
        <f>SUMIF('Журнал регистрации НК'!K$6:K$305,"Матч*",'Журнал регистрации НК'!G$6:G$305)</f>
        <v>0</v>
      </c>
      <c r="D47" s="50">
        <f>SUMIF('Журнал регистрации НК'!K$6:K$305,"Матч*",'Журнал регистрации НК'!H$6:H$305)</f>
        <v>0</v>
      </c>
      <c r="E47" s="50">
        <f>_xlfn.COUNTIFS('Журнал регистрации КС'!K$6:K$40,"Матч*",'Журнал регистрации КС'!I$6:I$40,"1")+_xlfn.COUNTIFS('Журнал регистрации КС'!K$6:K$40,"Матч*",'Журнал регистрации КС'!I$6:I$40,"1 с эл. 2 КС")</f>
        <v>0</v>
      </c>
      <c r="F47" s="54">
        <f>_xlfn.SUMIFS('Журнал регистрации КС'!G$6:G$40,'Журнал регистрации КС'!K$6:K$40,"Матч*",'Журнал регистрации КС'!I$6:I$40,"1")+_xlfn.SUMIFS('Журнал регистрации КС'!G$6:G$40,'Журнал регистрации КС'!K$6:K$40,"Матч*",'Журнал регистрации КС'!I$6:I$40,"1 с эл. 2 КС")</f>
        <v>0</v>
      </c>
      <c r="G47" s="54">
        <f>_xlfn.SUMIFS('Журнал регистрации КС'!H$6:H$40,'Журнал регистрации КС'!K$6:K$40,"Матч*",'Журнал регистрации КС'!I$6:I$40,"1")+_xlfn.SUMIFS('Журнал регистрации КС'!H$6:H$40,'Журнал регистрации КС'!K$6:K$40,"Матч*",'Журнал регистрации КС'!I$6:I$40,"1 с эл. 2 КС")</f>
        <v>0</v>
      </c>
      <c r="H47" s="50">
        <f>_xlfn.COUNTIFS('Журнал регистрации КС'!K$6:K$40,"Матч*",'Журнал регистрации КС'!I$6:I$40,"2")+_xlfn.COUNTIFS('Журнал регистрации КС'!K$6:K$40,"Матч*",'Журнал регистрации КС'!I$6:I$40,"2 с эл. 3 КС")</f>
        <v>0</v>
      </c>
      <c r="I47" s="54">
        <f>_xlfn.SUMIFS('Журнал регистрации КС'!G$6:G$40,'Журнал регистрации КС'!K$6:K$40,"Матч*",'Журнал регистрации КС'!I$6:I$40,"2")+_xlfn.SUMIFS('Журнал регистрации КС'!H$6:H$40,'Журнал регистрации КС'!K$6:K$40,"Матч*",'Журнал регистрации КС'!I$6:I$40,"2 с эл. 3 КС")</f>
        <v>0</v>
      </c>
      <c r="J47" s="54">
        <f>_xlfn.SUMIFS('Журнал регистрации КС'!H$6:H$40,'Журнал регистрации КС'!K$6:K$40,"Матч*",'Журнал регистрации КС'!I$6:I$40,"2")+_xlfn.SUMIFS('Журнал регистрации КС'!H$6:H$40,'Журнал регистрации КС'!K$6:K$40,"Матч*",'Журнал регистрации КС'!I$6:I$40,"2 с эл. 3 КС")</f>
        <v>0</v>
      </c>
      <c r="K47" s="50">
        <f>_xlfn.COUNTIFS('Журнал регистрации КС'!K$6:K$40,"Матч*",'Журнал регистрации КС'!I$6:I$40,"3")</f>
        <v>0</v>
      </c>
      <c r="L47" s="50">
        <f>_xlfn.SUMIFS('Журнал регистрации КС'!G$6:G$40,'Журнал регистрации КС'!K$6:K$40,"Матч*",'Журнал регистрации КС'!I$6:I$40,"3")</f>
        <v>0</v>
      </c>
      <c r="M47" s="50">
        <f>_xlfn.SUMIFS('Журнал регистрации КС'!H$6:H$40,'Журнал регистрации КС'!K$6:K$40,"Матч*",'Журнал регистрации КС'!I$6:I$40,"3")</f>
        <v>0</v>
      </c>
      <c r="N47" s="225">
        <f>_xlfn.COUNTIFS('Журнал регистрации КС'!K$6:K$40,"Матч*",'Журнал регистрации КС'!I$6:I$40,"4")</f>
        <v>0</v>
      </c>
      <c r="O47" s="225">
        <f>_xlfn.SUMIFS('Журнал регистрации КС'!G$6:G$40,'Журнал регистрации КС'!K$6:K$40,"Матч*",'Журнал регистрации КС'!I$6:I$40,"4")</f>
        <v>0</v>
      </c>
      <c r="P47" s="225">
        <f>_xlfn.SUMIFS('Журнал регистрации КС'!H$6:H$40,'Журнал регистрации КС'!K$6:K$40,"Матч*",'Журнал регистрации КС'!I$6:I$40,"4")</f>
        <v>0</v>
      </c>
      <c r="Q47" s="46">
        <f t="shared" si="1"/>
        <v>0</v>
      </c>
      <c r="R47" s="112">
        <f t="shared" si="2"/>
        <v>0</v>
      </c>
    </row>
    <row r="48" spans="1:18" ht="13.5" customHeight="1">
      <c r="A48" s="49" t="s">
        <v>76</v>
      </c>
      <c r="B48" s="50">
        <f>COUNTIF('Журнал регистрации НК'!K$6:K$305,"Остров*")</f>
        <v>0</v>
      </c>
      <c r="C48" s="50">
        <f>SUMIF('Журнал регистрации НК'!K$6:K$305,"Остров*",'Журнал регистрации НК'!G$6:G$305)</f>
        <v>0</v>
      </c>
      <c r="D48" s="50">
        <f>SUMIF('Журнал регистрации НК'!K$6:K$305,"Остров*",'Журнал регистрации НК'!H$6:H$305)</f>
        <v>0</v>
      </c>
      <c r="E48" s="50">
        <f>_xlfn.COUNTIFS('Журнал регистрации КС'!K$6:K$40,"Остров*",'Журнал регистрации КС'!I$6:I$40,"1")+_xlfn.COUNTIFS('Журнал регистрации КС'!K$6:K$40,"Остров*",'Журнал регистрации КС'!I$6:I$40,"1 с эл. 2 КС")</f>
        <v>0</v>
      </c>
      <c r="F48" s="54">
        <f>_xlfn.SUMIFS('Журнал регистрации КС'!G$6:G$40,'Журнал регистрации КС'!K$6:K$40,"Остров*",'Журнал регистрации КС'!I$6:I$40,"1")+_xlfn.SUMIFS('Журнал регистрации КС'!G$6:G$40,'Журнал регистрации КС'!K$6:K$40,"Остров*",'Журнал регистрации КС'!I$6:I$40,"1 с эл. 2 КС")</f>
        <v>0</v>
      </c>
      <c r="G48" s="54">
        <f>_xlfn.SUMIFS('Журнал регистрации КС'!H$6:H$40,'Журнал регистрации КС'!K$6:K$40,"Остров*",'Журнал регистрации КС'!I$6:I$40,"1")+_xlfn.SUMIFS('Журнал регистрации КС'!H$6:H$40,'Журнал регистрации КС'!K$6:K$40,"Остров*",'Журнал регистрации КС'!I$6:I$40,"1 с эл. 2 КС")</f>
        <v>0</v>
      </c>
      <c r="H48" s="50">
        <f>_xlfn.COUNTIFS('Журнал регистрации КС'!K$6:K$40,"Остров*",'Журнал регистрации КС'!I$6:I$40,"2")+_xlfn.COUNTIFS('Журнал регистрации КС'!K$6:K$40,"Остров*",'Журнал регистрации КС'!I$6:I$40,"2 с эл. 3 КС")</f>
        <v>0</v>
      </c>
      <c r="I48" s="54">
        <f>_xlfn.SUMIFS('Журнал регистрации КС'!G$6:G$40,'Журнал регистрации КС'!K$6:K$40,"Остров*",'Журнал регистрации КС'!I$6:I$40,"2")+_xlfn.SUMIFS('Журнал регистрации КС'!H$6:H$40,'Журнал регистрации КС'!K$6:K$40,"Остров*",'Журнал регистрации КС'!I$6:I$40,"2 с эл. 3 КС")</f>
        <v>0</v>
      </c>
      <c r="J48" s="54">
        <f>_xlfn.SUMIFS('Журнал регистрации КС'!H$6:H$40,'Журнал регистрации КС'!K$6:K$40,"Остров*",'Журнал регистрации КС'!I$6:I$40,"2")+_xlfn.SUMIFS('Журнал регистрации КС'!H$6:H$40,'Журнал регистрации КС'!K$6:K$40,"Остров*",'Журнал регистрации КС'!I$6:I$40,"2 с эл. 3 КС")</f>
        <v>0</v>
      </c>
      <c r="K48" s="50">
        <f>_xlfn.COUNTIFS('Журнал регистрации КС'!K$6:K$40,"Остров*",'Журнал регистрации КС'!I$6:I$40,"3")</f>
        <v>0</v>
      </c>
      <c r="L48" s="50">
        <f>_xlfn.SUMIFS('Журнал регистрации КС'!G$6:G$40,'Журнал регистрации КС'!K$6:K$40,"Остров*",'Журнал регистрации КС'!I$6:I$40,"3")</f>
        <v>0</v>
      </c>
      <c r="M48" s="50">
        <f>_xlfn.SUMIFS('Журнал регистрации КС'!H$6:H$40,'Журнал регистрации КС'!K$6:K$40,"Остров*",'Журнал регистрации КС'!I$6:I$40,"3")</f>
        <v>0</v>
      </c>
      <c r="N48" s="225">
        <f>_xlfn.COUNTIFS('Журнал регистрации КС'!K$6:K$40,"Остров*",'Журнал регистрации КС'!I$6:I$40,"4")</f>
        <v>0</v>
      </c>
      <c r="O48" s="225">
        <f>_xlfn.SUMIFS('Журнал регистрации КС'!G$6:G$40,'Журнал регистрации КС'!K$6:K$40,"Остров*",'Журнал регистрации КС'!I$6:I$40,"4")</f>
        <v>0</v>
      </c>
      <c r="P48" s="225">
        <f>_xlfn.SUMIFS('Журнал регистрации КС'!H$6:H$40,'Журнал регистрации КС'!K$6:K$40,"Остров*",'Журнал регистрации КС'!I$6:I$40,"4")</f>
        <v>0</v>
      </c>
      <c r="Q48" s="46">
        <f t="shared" si="1"/>
        <v>0</v>
      </c>
      <c r="R48" s="112">
        <f t="shared" si="2"/>
        <v>0</v>
      </c>
    </row>
    <row r="49" spans="1:18" ht="13.5" customHeight="1">
      <c r="A49" s="49" t="s">
        <v>29</v>
      </c>
      <c r="B49" s="50">
        <f>COUNTIF('Журнал регистрации НК'!K$6:K$305,"Пами*")</f>
        <v>0</v>
      </c>
      <c r="C49" s="50">
        <f>SUMIF('Журнал регистрации НК'!K$6:K$305,"Пами*",'Журнал регистрации НК'!G$6:G$305)</f>
        <v>0</v>
      </c>
      <c r="D49" s="50">
        <f>SUMIF('Журнал регистрации НК'!K$6:K$305,"Пами*",'Журнал регистрации НК'!H$6:H$305)</f>
        <v>0</v>
      </c>
      <c r="E49" s="50">
        <f>_xlfn.COUNTIFS('Журнал регистрации КС'!K$6:K$40,"Пами*",'Журнал регистрации КС'!I$6:I$40,"1")+_xlfn.COUNTIFS('Журнал регистрации КС'!K$6:K$40,"Пами*",'Журнал регистрации КС'!I$6:I$40,"1 с эл. 2 КС")</f>
        <v>0</v>
      </c>
      <c r="F49" s="54">
        <f>_xlfn.SUMIFS('Журнал регистрации КС'!G$6:G$40,'Журнал регистрации КС'!K$6:K$40,"Пами*",'Журнал регистрации КС'!I$6:I$40,"1")+_xlfn.SUMIFS('Журнал регистрации КС'!G$6:G$40,'Журнал регистрации КС'!K$6:K$40,"Пами*",'Журнал регистрации КС'!I$6:I$40,"1 с эл. 2 КС")</f>
        <v>0</v>
      </c>
      <c r="G49" s="54">
        <f>_xlfn.SUMIFS('Журнал регистрации КС'!H$6:H$40,'Журнал регистрации КС'!K$6:K$40,"Пами*",'Журнал регистрации КС'!I$6:I$40,"1")+_xlfn.SUMIFS('Журнал регистрации КС'!H$6:H$40,'Журнал регистрации КС'!K$6:K$40,"Пами*",'Журнал регистрации КС'!I$6:I$40,"1 с эл. 2 КС")</f>
        <v>0</v>
      </c>
      <c r="H49" s="50">
        <f>_xlfn.COUNTIFS('Журнал регистрации КС'!K$6:K$40,"Пами*",'Журнал регистрации КС'!I$6:I$40,"2")+_xlfn.COUNTIFS('Журнал регистрации КС'!K$6:K$40,"Пами*",'Журнал регистрации КС'!I$6:I$40,"2 с эл. 3 КС")</f>
        <v>0</v>
      </c>
      <c r="I49" s="54">
        <f>_xlfn.SUMIFS('Журнал регистрации КС'!G$6:G$40,'Журнал регистрации КС'!K$6:K$40,"Пами*",'Журнал регистрации КС'!I$6:I$40,"2")+_xlfn.SUMIFS('Журнал регистрации КС'!H$6:H$40,'Журнал регистрации КС'!K$6:K$40,"Пами*",'Журнал регистрации КС'!I$6:I$40,"2 с эл. 3 КС")</f>
        <v>0</v>
      </c>
      <c r="J49" s="54">
        <f>_xlfn.SUMIFS('Журнал регистрации КС'!H$6:H$40,'Журнал регистрации КС'!K$6:K$40,"Пами*",'Журнал регистрации КС'!I$6:I$40,"2")+_xlfn.SUMIFS('Журнал регистрации КС'!H$6:H$40,'Журнал регистрации КС'!K$6:K$40,"Пами*",'Журнал регистрации КС'!I$6:I$40,"2 с эл. 3 КС")</f>
        <v>0</v>
      </c>
      <c r="K49" s="50">
        <f>_xlfn.COUNTIFS('Журнал регистрации КС'!K$6:K$40,"Пами*",'Журнал регистрации КС'!I$6:I$40,"3")</f>
        <v>0</v>
      </c>
      <c r="L49" s="50">
        <f>_xlfn.SUMIFS('Журнал регистрации КС'!G$6:G$40,'Журнал регистрации КС'!K$6:K$40,"Пами*",'Журнал регистрации КС'!I$6:I$40,"3")</f>
        <v>0</v>
      </c>
      <c r="M49" s="50">
        <f>_xlfn.SUMIFS('Журнал регистрации КС'!H$6:H$40,'Журнал регистрации КС'!K$6:K$40,"Пами*",'Журнал регистрации КС'!I$6:I$40,"3")</f>
        <v>0</v>
      </c>
      <c r="N49" s="225">
        <f>_xlfn.COUNTIFS('Журнал регистрации КС'!K$6:K$40,"Пами*",'Журнал регистрации КС'!I$6:I$40,"4")</f>
        <v>0</v>
      </c>
      <c r="O49" s="225">
        <f>_xlfn.SUMIFS('Журнал регистрации КС'!G$6:G$40,'Журнал регистрации КС'!K$6:K$40,"Пами*",'Журнал регистрации КС'!I$6:I$40,"4")</f>
        <v>0</v>
      </c>
      <c r="P49" s="225">
        <f>_xlfn.SUMIFS('Журнал регистрации КС'!H$6:H$40,'Журнал регистрации КС'!K$6:K$40,"Пами*",'Журнал регистрации КС'!I$6:I$40,"4")</f>
        <v>0</v>
      </c>
      <c r="Q49" s="46">
        <f aca="true" t="shared" si="3" ref="Q49:Q71">B49+E49+H49+K49+N49</f>
        <v>0</v>
      </c>
      <c r="R49" s="112">
        <f t="shared" si="2"/>
        <v>0</v>
      </c>
    </row>
    <row r="50" spans="1:18" ht="13.5" customHeight="1">
      <c r="A50" s="49" t="s">
        <v>34</v>
      </c>
      <c r="B50" s="50">
        <f>COUNTIF('Журнал регистрации НК'!K$6:K$305,"Плато П*")</f>
        <v>0</v>
      </c>
      <c r="C50" s="50">
        <f>SUMIF('Журнал регистрации НК'!K$6:K$305,"Плато П*",'Журнал регистрации НК'!G$6:G$305)</f>
        <v>0</v>
      </c>
      <c r="D50" s="50">
        <f>SUMIF('Журнал регистрации НК'!K$6:K$305,"Плато П*",'Журнал регистрации НК'!H$6:H$305)</f>
        <v>0</v>
      </c>
      <c r="E50" s="50">
        <f>_xlfn.COUNTIFS('Журнал регистрации КС'!K$6:K$40,"Плато П*",'Журнал регистрации КС'!I$6:I$40,"1")+_xlfn.COUNTIFS('Журнал регистрации КС'!K$6:K$40,"Плато П*",'Журнал регистрации КС'!I$6:I$40,"1 с эл. 2 КС")</f>
        <v>0</v>
      </c>
      <c r="F50" s="54">
        <f>_xlfn.SUMIFS('Журнал регистрации КС'!G$6:G$40,'Журнал регистрации КС'!K$6:K$40,"Плато П*",'Журнал регистрации КС'!I$6:I$40,"1")+_xlfn.SUMIFS('Журнал регистрации КС'!G$6:G$40,'Журнал регистрации КС'!K$6:K$40,"Плато П*",'Журнал регистрации КС'!I$6:I$40,"1 с эл. 2 КС")</f>
        <v>0</v>
      </c>
      <c r="G50" s="54">
        <f>_xlfn.SUMIFS('Журнал регистрации КС'!H$6:H$40,'Журнал регистрации КС'!K$6:K$40,"Плато П*",'Журнал регистрации КС'!I$6:I$40,"1")+_xlfn.SUMIFS('Журнал регистрации КС'!H$6:H$40,'Журнал регистрации КС'!K$6:K$40,"Плато П*",'Журнал регистрации КС'!I$6:I$40,"1 с эл. 2 КС")</f>
        <v>0</v>
      </c>
      <c r="H50" s="50">
        <f>_xlfn.COUNTIFS('Журнал регистрации КС'!K$6:K$40,"Плато П*",'Журнал регистрации КС'!I$6:I$40,"2")+_xlfn.COUNTIFS('Журнал регистрации КС'!K$6:K$40,"Плато П*",'Журнал регистрации КС'!I$6:I$40,"2 с эл. 3 КС")</f>
        <v>0</v>
      </c>
      <c r="I50" s="54">
        <f>_xlfn.SUMIFS('Журнал регистрации КС'!G$6:G$40,'Журнал регистрации КС'!K$6:K$40,"Плато П*",'Журнал регистрации КС'!I$6:I$40,"2")+_xlfn.SUMIFS('Журнал регистрации КС'!H$6:H$40,'Журнал регистрации КС'!K$6:K$40,"Плато П*",'Журнал регистрации КС'!I$6:I$40,"2 с эл. 3 КС")</f>
        <v>0</v>
      </c>
      <c r="J50" s="54">
        <f>_xlfn.SUMIFS('Журнал регистрации КС'!H$6:H$40,'Журнал регистрации КС'!K$6:K$40,"Плато П*",'Журнал регистрации КС'!I$6:I$40,"2")+_xlfn.SUMIFS('Журнал регистрации КС'!H$6:H$40,'Журнал регистрации КС'!K$6:K$40,"Плато П*",'Журнал регистрации КС'!I$6:I$40,"2 с эл. 3 КС")</f>
        <v>0</v>
      </c>
      <c r="K50" s="50">
        <f>_xlfn.COUNTIFS('Журнал регистрации КС'!K$6:K$40,"Плато П*",'Журнал регистрации КС'!I$6:I$40,"3")</f>
        <v>0</v>
      </c>
      <c r="L50" s="50">
        <f>_xlfn.SUMIFS('Журнал регистрации КС'!G$6:G$40,'Журнал регистрации КС'!K$6:K$40,"Плато П*",'Журнал регистрации КС'!I$6:I$40,"3")</f>
        <v>0</v>
      </c>
      <c r="M50" s="50">
        <f>_xlfn.SUMIFS('Журнал регистрации КС'!H$6:H$40,'Журнал регистрации КС'!K$6:K$40,"Плато П*",'Журнал регистрации КС'!I$6:I$40,"3")</f>
        <v>0</v>
      </c>
      <c r="N50" s="225">
        <f>_xlfn.COUNTIFS('Журнал регистрации КС'!K$6:K$40,"Плато П*",'Журнал регистрации КС'!I$6:I$40,"4")</f>
        <v>0</v>
      </c>
      <c r="O50" s="225">
        <f>_xlfn.SUMIFS('Журнал регистрации КС'!G$6:G$40,'Журнал регистрации КС'!K$6:K$40,"Плато П*",'Журнал регистрации КС'!I$6:I$40,"4")</f>
        <v>0</v>
      </c>
      <c r="P50" s="225">
        <f>_xlfn.SUMIFS('Журнал регистрации КС'!H$6:H$40,'Журнал регистрации КС'!K$6:K$40,"Плато П*",'Журнал регистрации КС'!I$6:I$40,"4")</f>
        <v>0</v>
      </c>
      <c r="Q50" s="46">
        <f t="shared" si="3"/>
        <v>0</v>
      </c>
      <c r="R50" s="112">
        <f t="shared" si="2"/>
        <v>0</v>
      </c>
    </row>
    <row r="51" spans="1:18" ht="13.5" customHeight="1">
      <c r="A51" s="49" t="s">
        <v>75</v>
      </c>
      <c r="B51" s="50">
        <f>COUNTIF('Журнал регистрации НК'!K$6:K$305,"Приамур*")</f>
        <v>0</v>
      </c>
      <c r="C51" s="50">
        <f>SUMIF('Журнал регистрации НК'!K$6:K$305,"Приамур*",'Журнал регистрации НК'!G$6:G$305)</f>
        <v>0</v>
      </c>
      <c r="D51" s="50">
        <f>SUMIF('Журнал регистрации НК'!K$6:K$305,"Приамур*",'Журнал регистрации НК'!H$6:H$305)</f>
        <v>0</v>
      </c>
      <c r="E51" s="50">
        <f>_xlfn.COUNTIFS('Журнал регистрации КС'!K$6:K$40,"Приамур*",'Журнал регистрации КС'!I$6:I$40,"1")+_xlfn.COUNTIFS('Журнал регистрации КС'!K$6:K$40,"Приамур*",'Журнал регистрации КС'!I$6:I$40,"1 с эл. 2 КС")</f>
        <v>0</v>
      </c>
      <c r="F51" s="54">
        <f>_xlfn.SUMIFS('Журнал регистрации КС'!G$6:G$40,'Журнал регистрации КС'!K$6:K$40,"Приамур*",'Журнал регистрации КС'!I$6:I$40,"1")+_xlfn.SUMIFS('Журнал регистрации КС'!G$6:G$40,'Журнал регистрации КС'!K$6:K$40,"Приамур*",'Журнал регистрации КС'!I$6:I$40,"1 с эл. 2 КС")</f>
        <v>0</v>
      </c>
      <c r="G51" s="54">
        <f>_xlfn.SUMIFS('Журнал регистрации КС'!H$6:H$40,'Журнал регистрации КС'!K$6:K$40,"Приамур*",'Журнал регистрации КС'!I$6:I$40,"1")+_xlfn.SUMIFS('Журнал регистрации КС'!H$6:H$40,'Журнал регистрации КС'!K$6:K$40,"Приамур*",'Журнал регистрации КС'!I$6:I$40,"1 с эл. 2 КС")</f>
        <v>0</v>
      </c>
      <c r="H51" s="50">
        <f>_xlfn.COUNTIFS('Журнал регистрации КС'!K$6:K$40,"Приамур*",'Журнал регистрации КС'!I$6:I$40,"2")+_xlfn.COUNTIFS('Журнал регистрации КС'!K$6:K$40,"Приамур*",'Журнал регистрации КС'!I$6:I$40,"2 с эл. 3 КС")</f>
        <v>0</v>
      </c>
      <c r="I51" s="54">
        <f>_xlfn.SUMIFS('Журнал регистрации КС'!G$6:G$40,'Журнал регистрации КС'!K$6:K$40,"Приамур*",'Журнал регистрации КС'!I$6:I$40,"2")+_xlfn.SUMIFS('Журнал регистрации КС'!H$6:H$40,'Журнал регистрации КС'!K$6:K$40,"Приамур*",'Журнал регистрации КС'!I$6:I$40,"2 с эл. 3 КС")</f>
        <v>0</v>
      </c>
      <c r="J51" s="54">
        <f>_xlfn.SUMIFS('Журнал регистрации КС'!H$6:H$40,'Журнал регистрации КС'!K$6:K$40,"Приамур*",'Журнал регистрации КС'!I$6:I$40,"2")+_xlfn.SUMIFS('Журнал регистрации КС'!H$6:H$40,'Журнал регистрации КС'!K$6:K$40,"Приамур*",'Журнал регистрации КС'!I$6:I$40,"2 с эл. 3 КС")</f>
        <v>0</v>
      </c>
      <c r="K51" s="50">
        <f>_xlfn.COUNTIFS('Журнал регистрации КС'!K$6:K$40,"Приамур*",'Журнал регистрации КС'!I$6:I$40,"3")</f>
        <v>0</v>
      </c>
      <c r="L51" s="50">
        <f>_xlfn.SUMIFS('Журнал регистрации КС'!G$6:G$40,'Журнал регистрации КС'!K$6:K$40,"Приамур*",'Журнал регистрации КС'!I$6:I$40,"3")</f>
        <v>0</v>
      </c>
      <c r="M51" s="50">
        <f>_xlfn.SUMIFS('Журнал регистрации КС'!H$6:H$40,'Журнал регистрации КС'!K$6:K$40,"Приамур*",'Журнал регистрации КС'!I$6:I$40,"3")</f>
        <v>0</v>
      </c>
      <c r="N51" s="225">
        <f>_xlfn.COUNTIFS('Журнал регистрации КС'!K$6:K$40,"Приамур*",'Журнал регистрации КС'!I$6:I$40,"4")</f>
        <v>0</v>
      </c>
      <c r="O51" s="225">
        <f>_xlfn.SUMIFS('Журнал регистрации КС'!G$6:G$40,'Журнал регистрации КС'!K$6:K$40,"Приамур*",'Журнал регистрации КС'!I$6:I$40,"4")</f>
        <v>0</v>
      </c>
      <c r="P51" s="225">
        <f>_xlfn.SUMIFS('Журнал регистрации КС'!H$6:H$40,'Журнал регистрации КС'!K$6:K$40,"Приамур*",'Журнал регистрации КС'!I$6:I$40,"4")</f>
        <v>0</v>
      </c>
      <c r="Q51" s="46">
        <f t="shared" si="3"/>
        <v>0</v>
      </c>
      <c r="R51" s="112">
        <f t="shared" si="2"/>
        <v>0</v>
      </c>
    </row>
    <row r="52" spans="1:18" ht="13.5" customHeight="1">
      <c r="A52" s="49" t="s">
        <v>66</v>
      </c>
      <c r="B52" s="50">
        <f>COUNTIF('Журнал регистрации НК'!K$6:K$305,"Прибайк*")</f>
        <v>0</v>
      </c>
      <c r="C52" s="50">
        <f>SUMIF('Журнал регистрации НК'!K$6:K$305,"Прибайк*",'Журнал регистрации НК'!G$6:G$305)</f>
        <v>0</v>
      </c>
      <c r="D52" s="50">
        <f>SUMIF('Журнал регистрации НК'!K$6:K$305,"Прибайк*",'Журнал регистрации НК'!H$6:H$305)</f>
        <v>0</v>
      </c>
      <c r="E52" s="50">
        <f>_xlfn.COUNTIFS('Журнал регистрации КС'!K$6:K$40,"Прибайк*",'Журнал регистрации КС'!I$6:I$40,"1")+_xlfn.COUNTIFS('Журнал регистрации КС'!K$6:K$40,"Прибайк*",'Журнал регистрации КС'!I$6:I$40,"1 с эл. 2 КС")</f>
        <v>0</v>
      </c>
      <c r="F52" s="54">
        <f>_xlfn.SUMIFS('Журнал регистрации КС'!G$6:G$40,'Журнал регистрации КС'!K$6:K$40,"Прибайк*",'Журнал регистрации КС'!I$6:I$40,"1")+_xlfn.SUMIFS('Журнал регистрации КС'!G$6:G$40,'Журнал регистрации КС'!K$6:K$40,"Прибайк*",'Журнал регистрации КС'!I$6:I$40,"1 с эл. 2 КС")</f>
        <v>0</v>
      </c>
      <c r="G52" s="54">
        <f>_xlfn.SUMIFS('Журнал регистрации КС'!H$6:H$40,'Журнал регистрации КС'!K$6:K$40,"Прибайк*",'Журнал регистрации КС'!I$6:I$40,"1")+_xlfn.SUMIFS('Журнал регистрации КС'!H$6:H$40,'Журнал регистрации КС'!K$6:K$40,"Прибайк*",'Журнал регистрации КС'!I$6:I$40,"1 с эл. 2 КС")</f>
        <v>0</v>
      </c>
      <c r="H52" s="50">
        <f>_xlfn.COUNTIFS('Журнал регистрации КС'!K$6:K$40,"Прибайк*",'Журнал регистрации КС'!I$6:I$40,"2")+_xlfn.COUNTIFS('Журнал регистрации КС'!K$6:K$40,"Прибайк*",'Журнал регистрации КС'!I$6:I$40,"2 с эл. 3 КС")</f>
        <v>0</v>
      </c>
      <c r="I52" s="54">
        <f>_xlfn.SUMIFS('Журнал регистрации КС'!G$6:G$40,'Журнал регистрации КС'!K$6:K$40,"Прибайк*",'Журнал регистрации КС'!I$6:I$40,"2")+_xlfn.SUMIFS('Журнал регистрации КС'!H$6:H$40,'Журнал регистрации КС'!K$6:K$40,"Прибайк*",'Журнал регистрации КС'!I$6:I$40,"2 с эл. 3 КС")</f>
        <v>0</v>
      </c>
      <c r="J52" s="54">
        <f>_xlfn.SUMIFS('Журнал регистрации КС'!H$6:H$40,'Журнал регистрации КС'!K$6:K$40,"Прибайк*",'Журнал регистрации КС'!I$6:I$40,"2")+_xlfn.SUMIFS('Журнал регистрации КС'!H$6:H$40,'Журнал регистрации КС'!K$6:K$40,"Прибайк*",'Журнал регистрации КС'!I$6:I$40,"2 с эл. 3 КС")</f>
        <v>0</v>
      </c>
      <c r="K52" s="50">
        <f>_xlfn.COUNTIFS('Журнал регистрации КС'!K$6:K$40,"Прибайк*",'Журнал регистрации КС'!I$6:I$40,"3")</f>
        <v>0</v>
      </c>
      <c r="L52" s="50">
        <f>_xlfn.SUMIFS('Журнал регистрации КС'!G$6:G$40,'Журнал регистрации КС'!K$6:K$40,"Прибайк*",'Журнал регистрации КС'!I$6:I$40,"3")</f>
        <v>0</v>
      </c>
      <c r="M52" s="50">
        <f>_xlfn.SUMIFS('Журнал регистрации КС'!H$6:H$40,'Журнал регистрации КС'!K$6:K$40,"Прибайк*",'Журнал регистрации КС'!I$6:I$40,"3")</f>
        <v>0</v>
      </c>
      <c r="N52" s="225">
        <f>_xlfn.COUNTIFS('Журнал регистрации КС'!K$6:K$40,"Прибайк*",'Журнал регистрации КС'!I$6:I$40,"4")</f>
        <v>0</v>
      </c>
      <c r="O52" s="225">
        <f>_xlfn.SUMIFS('Журнал регистрации КС'!G$6:G$40,'Журнал регистрации КС'!K$6:K$40,"Прибайк*",'Журнал регистрации КС'!I$6:I$40,"4")</f>
        <v>0</v>
      </c>
      <c r="P52" s="225">
        <f>_xlfn.SUMIFS('Журнал регистрации КС'!H$6:H$40,'Журнал регистрации КС'!K$6:K$40,"Прибайк*",'Журнал регистрации КС'!I$6:I$40,"4")</f>
        <v>0</v>
      </c>
      <c r="Q52" s="46">
        <f t="shared" si="3"/>
        <v>0</v>
      </c>
      <c r="R52" s="112">
        <f t="shared" si="2"/>
        <v>0</v>
      </c>
    </row>
    <row r="53" spans="1:18" ht="13.5" customHeight="1">
      <c r="A53" s="49" t="s">
        <v>37</v>
      </c>
      <c r="B53" s="50">
        <f>COUNTIF('Журнал регистрации НК'!K$6:K$305,"Примор*")</f>
        <v>0</v>
      </c>
      <c r="C53" s="50">
        <f>SUMIF('Журнал регистрации НК'!K$6:K$305,"Примор*",'Журнал регистрации НК'!G$6:G$305)</f>
        <v>0</v>
      </c>
      <c r="D53" s="50">
        <f>SUMIF('Журнал регистрации НК'!K$6:K$305,"Примор*",'Журнал регистрации НК'!H$6:H$305)</f>
        <v>0</v>
      </c>
      <c r="E53" s="50">
        <f>_xlfn.COUNTIFS('Журнал регистрации КС'!K$6:K$40,"Примор*",'Журнал регистрации КС'!I$6:I$40,"1")+_xlfn.COUNTIFS('Журнал регистрации КС'!K$6:K$40,"Примор*",'Журнал регистрации КС'!I$6:I$40,"1 с эл. 2 КС")</f>
        <v>0</v>
      </c>
      <c r="F53" s="54">
        <f>_xlfn.SUMIFS('Журнал регистрации КС'!G$6:G$40,'Журнал регистрации КС'!K$6:K$40,"Примор*",'Журнал регистрации КС'!I$6:I$40,"1")+_xlfn.SUMIFS('Журнал регистрации КС'!G$6:G$40,'Журнал регистрации КС'!K$6:K$40,"Примор*",'Журнал регистрации КС'!I$6:I$40,"1 с эл. 2 КС")</f>
        <v>0</v>
      </c>
      <c r="G53" s="54">
        <f>_xlfn.SUMIFS('Журнал регистрации КС'!H$6:H$40,'Журнал регистрации КС'!K$6:K$40,"Примор*",'Журнал регистрации КС'!I$6:I$40,"1")+_xlfn.SUMIFS('Журнал регистрации КС'!H$6:H$40,'Журнал регистрации КС'!K$6:K$40,"Примор*",'Журнал регистрации КС'!I$6:I$40,"1 с эл. 2 КС")</f>
        <v>0</v>
      </c>
      <c r="H53" s="50">
        <f>_xlfn.COUNTIFS('Журнал регистрации КС'!K$6:K$40,"Примор*",'Журнал регистрации КС'!I$6:I$40,"2")+_xlfn.COUNTIFS('Журнал регистрации КС'!K$6:K$40,"Примор*",'Журнал регистрации КС'!I$6:I$40,"2 с эл. 3 КС")</f>
        <v>0</v>
      </c>
      <c r="I53" s="54">
        <f>_xlfn.SUMIFS('Журнал регистрации КС'!G$6:G$40,'Журнал регистрации КС'!K$6:K$40,"Примор*",'Журнал регистрации КС'!I$6:I$40,"2")+_xlfn.SUMIFS('Журнал регистрации КС'!H$6:H$40,'Журнал регистрации КС'!K$6:K$40,"Примор*",'Журнал регистрации КС'!I$6:I$40,"2 с эл. 3 КС")</f>
        <v>0</v>
      </c>
      <c r="J53" s="54">
        <f>_xlfn.SUMIFS('Журнал регистрации КС'!H$6:H$40,'Журнал регистрации КС'!K$6:K$40,"Примор*",'Журнал регистрации КС'!I$6:I$40,"2")+_xlfn.SUMIFS('Журнал регистрации КС'!H$6:H$40,'Журнал регистрации КС'!K$6:K$40,"Примор*",'Журнал регистрации КС'!I$6:I$40,"2 с эл. 3 КС")</f>
        <v>0</v>
      </c>
      <c r="K53" s="50">
        <f>_xlfn.COUNTIFS('Журнал регистрации КС'!K$6:K$40,"Примор*",'Журнал регистрации КС'!I$6:I$40,"3")</f>
        <v>0</v>
      </c>
      <c r="L53" s="50">
        <f>_xlfn.SUMIFS('Журнал регистрации КС'!G$6:G$40,'Журнал регистрации КС'!K$6:K$40,"Примор*",'Журнал регистрации КС'!H$6:H$40,"3")</f>
        <v>0</v>
      </c>
      <c r="M53" s="50">
        <f>_xlfn.SUMIFS('Журнал регистрации КС'!H$6:H$40,'Журнал регистрации КС'!K$6:K$40,"Примор*",'Журнал регистрации КС'!I$6:I$40,"3")</f>
        <v>0</v>
      </c>
      <c r="N53" s="225">
        <f>_xlfn.COUNTIFS('Журнал регистрации КС'!K$6:K$40,"Примор*",'Журнал регистрации КС'!I$6:I$40,"4")</f>
        <v>0</v>
      </c>
      <c r="O53" s="50">
        <f>_xlfn.SUMIFS('Журнал регистрации КС'!G$6:G$40,'Журнал регистрации КС'!K$6:K$40,"Примор*",'Журнал регистрации КС'!K$6:K$40,"4")</f>
        <v>0</v>
      </c>
      <c r="P53" s="225">
        <f>_xlfn.SUMIFS('Журнал регистрации КС'!H$6:H$40,'Журнал регистрации КС'!K$6:K$40,"Примор*",'Журнал регистрации КС'!I$6:I$40,"4")</f>
        <v>0</v>
      </c>
      <c r="Q53" s="46">
        <f t="shared" si="3"/>
        <v>0</v>
      </c>
      <c r="R53" s="112">
        <f t="shared" si="2"/>
        <v>0</v>
      </c>
    </row>
    <row r="54" spans="1:18" ht="13.5" customHeight="1">
      <c r="A54" s="49" t="s">
        <v>38</v>
      </c>
      <c r="B54" s="50">
        <f>COUNTIF('Журнал регистрации НК'!K$6:K$305,"Сахал*")</f>
        <v>0</v>
      </c>
      <c r="C54" s="50">
        <f>SUMIF('Журнал регистрации НК'!K$6:K$305,"Сахал*",'Журнал регистрации НК'!G$6:G$305)</f>
        <v>0</v>
      </c>
      <c r="D54" s="50">
        <f>SUMIF('Журнал регистрации НК'!K$6:K$305,"Сахал*",'Журнал регистрации НК'!H$6:H$305)</f>
        <v>0</v>
      </c>
      <c r="E54" s="50">
        <f>_xlfn.COUNTIFS('Журнал регистрации КС'!K$6:K$40,"Сахал*",'Журнал регистрации КС'!I$6:I$40,"1")+_xlfn.COUNTIFS('Журнал регистрации КС'!K$6:K$40,"Сахал*",'Журнал регистрации КС'!I$6:I$40,"1 с эл. 2 КС")</f>
        <v>0</v>
      </c>
      <c r="F54" s="54">
        <f>_xlfn.SUMIFS('Журнал регистрации КС'!G$6:G$40,'Журнал регистрации КС'!K$6:K$40,"Сахал*",'Журнал регистрации КС'!I$6:I$40,"1")+_xlfn.SUMIFS('Журнал регистрации КС'!G$6:G$40,'Журнал регистрации КС'!K$6:K$40,"Сахал*",'Журнал регистрации КС'!I$6:I$40,"1 с эл. 2 КС")</f>
        <v>0</v>
      </c>
      <c r="G54" s="54">
        <f>_xlfn.SUMIFS('Журнал регистрации КС'!H$6:H$40,'Журнал регистрации КС'!K$6:K$40,"Сахал*",'Журнал регистрации КС'!I$6:I$40,"1")+_xlfn.SUMIFS('Журнал регистрации КС'!H$6:H$40,'Журнал регистрации КС'!K$6:K$40,"Сахал*",'Журнал регистрации КС'!I$6:I$40,"1 с эл. 2 КС")</f>
        <v>0</v>
      </c>
      <c r="H54" s="50">
        <f>_xlfn.COUNTIFS('Журнал регистрации КС'!K$6:K$40,"Сахал*",'Журнал регистрации КС'!I$6:I$40,"2")+_xlfn.COUNTIFS('Журнал регистрации КС'!K$6:K$40,"Сахал*",'Журнал регистрации КС'!I$6:I$40,"2 с эл. 3 КС")</f>
        <v>0</v>
      </c>
      <c r="I54" s="54">
        <f>_xlfn.SUMIFS('Журнал регистрации КС'!G$6:G$40,'Журнал регистрации КС'!K$6:K$40,"Сахал*",'Журнал регистрации КС'!I$6:I$40,"2")+_xlfn.SUMIFS('Журнал регистрации КС'!H$6:H$40,'Журнал регистрации КС'!K$6:K$40,"Сахал*",'Журнал регистрации КС'!I$6:I$40,"2 с эл. 3 КС")</f>
        <v>0</v>
      </c>
      <c r="J54" s="54">
        <f>_xlfn.SUMIFS('Журнал регистрации КС'!H$6:H$40,'Журнал регистрации КС'!K$6:K$40,"Сахал*",'Журнал регистрации КС'!I$6:I$40,"2")+_xlfn.SUMIFS('Журнал регистрации КС'!H$6:H$40,'Журнал регистрации КС'!K$6:K$40,"Сахал*",'Журнал регистрации КС'!I$6:I$40,"2 с эл. 3 КС")</f>
        <v>0</v>
      </c>
      <c r="K54" s="50">
        <f>_xlfn.COUNTIFS('Журнал регистрации КС'!K$6:K$40,"Сахал*",'Журнал регистрации КС'!I$6:I$40,"3")</f>
        <v>0</v>
      </c>
      <c r="L54" s="50">
        <f>_xlfn.SUMIFS('Журнал регистрации КС'!G$6:G$40,'Журнал регистрации КС'!K$6:K$40,"Сахал*",'Журнал регистрации КС'!I$6:I$40,"3")</f>
        <v>0</v>
      </c>
      <c r="M54" s="50">
        <f>_xlfn.SUMIFS('Журнал регистрации КС'!H$6:H$40,'Журнал регистрации КС'!K$6:K$40,"Сахал*",'Журнал регистрации КС'!I$6:I$40,"3")</f>
        <v>0</v>
      </c>
      <c r="N54" s="225">
        <f>_xlfn.COUNTIFS('Журнал регистрации КС'!K$6:K$40,"Сахал*",'Журнал регистрации КС'!I$6:I$40,"4")</f>
        <v>0</v>
      </c>
      <c r="O54" s="225">
        <f>_xlfn.SUMIFS('Журнал регистрации КС'!G$6:G$40,'Журнал регистрации КС'!K$6:K$40,"Сахал*",'Журнал регистрации КС'!I$6:I$40,"4")</f>
        <v>0</v>
      </c>
      <c r="P54" s="225">
        <f>_xlfn.SUMIFS('Журнал регистрации КС'!H$6:H$40,'Журнал регистрации КС'!K$6:K$40,"Сахал*",'Журнал регистрации КС'!I$6:I$40,"4")</f>
        <v>0</v>
      </c>
      <c r="Q54" s="46">
        <f t="shared" si="3"/>
        <v>0</v>
      </c>
      <c r="R54" s="112">
        <f t="shared" si="2"/>
        <v>0</v>
      </c>
    </row>
    <row r="55" spans="1:18" ht="13.5" customHeight="1">
      <c r="A55" s="49" t="s">
        <v>65</v>
      </c>
      <c r="B55" s="50">
        <f>COUNTIF('Журнал регистрации НК'!K$6:K$305,"Саян В*")</f>
        <v>0</v>
      </c>
      <c r="C55" s="50">
        <f>SUMIF('Журнал регистрации НК'!K$6:K$305,"Саян В*",'Журнал регистрации НК'!G$6:G$305)</f>
        <v>0</v>
      </c>
      <c r="D55" s="50">
        <f>SUMIF('Журнал регистрации НК'!K$6:K$305,"Саян В*",'Журнал регистрации НК'!H$6:H$305)</f>
        <v>0</v>
      </c>
      <c r="E55" s="50">
        <f>_xlfn.COUNTIFS('Журнал регистрации КС'!K$6:K$40,"Саян В*",'Журнал регистрации КС'!I$6:I$40,"1")+_xlfn.COUNTIFS('Журнал регистрации КС'!K$6:K$40,"Саян В*",'Журнал регистрации КС'!I$6:I$40,"1 с эл. 2 КС")</f>
        <v>0</v>
      </c>
      <c r="F55" s="54">
        <f>_xlfn.SUMIFS('Журнал регистрации КС'!G$6:G$40,'Журнал регистрации КС'!K$6:K$40,"Саян В*",'Журнал регистрации КС'!I$6:I$40,"1")+_xlfn.SUMIFS('Журнал регистрации КС'!G$6:G$40,'Журнал регистрации КС'!K$6:K$40,"Саян В*",'Журнал регистрации КС'!I$6:I$40,"1 с эл. 2 КС")</f>
        <v>0</v>
      </c>
      <c r="G55" s="54">
        <f>_xlfn.SUMIFS('Журнал регистрации КС'!H$6:H$40,'Журнал регистрации КС'!K$6:K$40,"Саян В*",'Журнал регистрации КС'!I$6:I$40,"1")+_xlfn.SUMIFS('Журнал регистрации КС'!H$6:H$40,'Журнал регистрации КС'!K$6:K$40,"Саян В*",'Журнал регистрации КС'!I$6:I$40,"1 с эл. 2 КС")</f>
        <v>0</v>
      </c>
      <c r="H55" s="50">
        <f>_xlfn.COUNTIFS('Журнал регистрации КС'!K$6:K$40,"Саян В*",'Журнал регистрации КС'!I$6:I$40,"2")+_xlfn.COUNTIFS('Журнал регистрации КС'!K$6:K$40,"Саян В*",'Журнал регистрации КС'!I$6:I$40,"2 с эл. 3 КС")</f>
        <v>0</v>
      </c>
      <c r="I55" s="54">
        <f>_xlfn.SUMIFS('Журнал регистрации КС'!G$6:G$40,'Журнал регистрации КС'!K$6:K$40,"Саян В*",'Журнал регистрации КС'!I$6:I$40,"2")+_xlfn.SUMIFS('Журнал регистрации КС'!H$6:H$40,'Журнал регистрации КС'!K$6:K$40,"Саян В*",'Журнал регистрации КС'!I$6:I$40,"2 с эл. 3 КС")</f>
        <v>0</v>
      </c>
      <c r="J55" s="54">
        <f>_xlfn.SUMIFS('Журнал регистрации КС'!H$6:H$40,'Журнал регистрации КС'!K$6:K$40,"Саян В*",'Журнал регистрации КС'!I$6:I$40,"2")+_xlfn.SUMIFS('Журнал регистрации КС'!H$6:H$40,'Журнал регистрации КС'!K$6:K$40,"Саян В*",'Журнал регистрации КС'!I$6:I$40,"2 с эл. 3 КС")</f>
        <v>0</v>
      </c>
      <c r="K55" s="50">
        <f>_xlfn.COUNTIFS('Журнал регистрации КС'!K$6:K$40,"Саян В*",'Журнал регистрации КС'!I$6:I$40,"3")</f>
        <v>0</v>
      </c>
      <c r="L55" s="50">
        <f>_xlfn.SUMIFS('Журнал регистрации КС'!G$6:G$40,'Журнал регистрации КС'!K$6:K$40,"Саян В*",'Журнал регистрации КС'!I$6:I$40,"3")</f>
        <v>0</v>
      </c>
      <c r="M55" s="50">
        <f>_xlfn.SUMIFS('Журнал регистрации КС'!H$6:H$40,'Журнал регистрации КС'!K$6:K$40,"Саян В*",'Журнал регистрации КС'!I$6:I$40,"3")</f>
        <v>0</v>
      </c>
      <c r="N55" s="225">
        <f>_xlfn.COUNTIFS('Журнал регистрации КС'!K$6:K$40,"Саян В*",'Журнал регистрации КС'!I$6:I$40,"4")</f>
        <v>0</v>
      </c>
      <c r="O55" s="225">
        <f>_xlfn.SUMIFS('Журнал регистрации КС'!G$6:G$40,'Журнал регистрации КС'!K$6:K$40,"Саян В*",'Журнал регистрации КС'!I$6:I$40,"4")</f>
        <v>0</v>
      </c>
      <c r="P55" s="225">
        <f>_xlfn.SUMIFS('Журнал регистрации КС'!H$6:H$40,'Журнал регистрации КС'!K$6:K$40,"Саян В*",'Журнал регистрации КС'!I$6:I$40,"4")</f>
        <v>0</v>
      </c>
      <c r="Q55" s="46">
        <f t="shared" si="3"/>
        <v>0</v>
      </c>
      <c r="R55" s="112">
        <f t="shared" si="2"/>
        <v>0</v>
      </c>
    </row>
    <row r="56" spans="1:18" ht="13.5" customHeight="1">
      <c r="A56" s="49" t="s">
        <v>77</v>
      </c>
      <c r="B56" s="50">
        <f>COUNTIF('Журнал регистрации НК'!K$6:K$305,"Саян З*")</f>
        <v>0</v>
      </c>
      <c r="C56" s="50">
        <f>SUMIF('Журнал регистрации НК'!K$6:K$305,"Саян З*",'Журнал регистрации НК'!G$6:G$305)</f>
        <v>0</v>
      </c>
      <c r="D56" s="50">
        <f>SUMIF('Журнал регистрации НК'!K$6:K$305,"Саян З*",'Журнал регистрации НК'!H$6:H$305)</f>
        <v>0</v>
      </c>
      <c r="E56" s="50">
        <f>_xlfn.COUNTIFS('Журнал регистрации КС'!K$6:K$40,"Саян З*",'Журнал регистрации КС'!I$6:I$40,"1")+_xlfn.COUNTIFS('Журнал регистрации КС'!K$6:K$40,"Саян З*",'Журнал регистрации КС'!I$6:I$40,"1 с эл. 2 КС")</f>
        <v>0</v>
      </c>
      <c r="F56" s="54">
        <f>_xlfn.SUMIFS('Журнал регистрации КС'!G$6:G$40,'Журнал регистрации КС'!K$6:K$40,"Саян З*",'Журнал регистрации КС'!I$6:I$40,"1")+_xlfn.SUMIFS('Журнал регистрации КС'!G$6:G$40,'Журнал регистрации КС'!K$6:K$40,"Саян З*",'Журнал регистрации КС'!I$6:I$40,"1 с эл. 2 КС")</f>
        <v>0</v>
      </c>
      <c r="G56" s="54">
        <f>_xlfn.SUMIFS('Журнал регистрации КС'!H$6:H$40,'Журнал регистрации КС'!K$6:K$40,"Саян З*",'Журнал регистрации КС'!I$6:I$40,"1")+_xlfn.SUMIFS('Журнал регистрации КС'!H$6:H$40,'Журнал регистрации КС'!K$6:K$40,"Саян З*",'Журнал регистрации КС'!I$6:I$40,"1 с эл. 2 КС")</f>
        <v>0</v>
      </c>
      <c r="H56" s="50">
        <f>_xlfn.COUNTIFS('Журнал регистрации КС'!K$6:K$40,"Саян З*",'Журнал регистрации КС'!I$6:I$40,"2")+_xlfn.COUNTIFS('Журнал регистрации КС'!K$6:K$40,"Саян З*",'Журнал регистрации КС'!I$6:I$40,"2 с эл. 3 КС")</f>
        <v>0</v>
      </c>
      <c r="I56" s="54">
        <f>_xlfn.SUMIFS('Журнал регистрации КС'!G$6:G$40,'Журнал регистрации КС'!K$6:K$40,"Саян З*",'Журнал регистрации КС'!I$6:I$40,"2")+_xlfn.SUMIFS('Журнал регистрации КС'!H$6:H$40,'Журнал регистрации КС'!K$6:K$40,"Саян З*",'Журнал регистрации КС'!I$6:I$40,"2 с эл. 3 КС")</f>
        <v>0</v>
      </c>
      <c r="J56" s="54">
        <f>_xlfn.SUMIFS('Журнал регистрации КС'!H$6:H$40,'Журнал регистрации КС'!K$6:K$40,"Саян З*",'Журнал регистрации КС'!I$6:I$40,"2")+_xlfn.SUMIFS('Журнал регистрации КС'!H$6:H$40,'Журнал регистрации КС'!K$6:K$40,"Саян З*",'Журнал регистрации КС'!I$6:I$40,"2 с эл. 3 КС")</f>
        <v>0</v>
      </c>
      <c r="K56" s="50">
        <f>_xlfn.COUNTIFS('Журнал регистрации КС'!K$6:K$40,"Саян З*",'Журнал регистрации КС'!I$6:I$40,"3")</f>
        <v>0</v>
      </c>
      <c r="L56" s="50">
        <f>_xlfn.SUMIFS('Журнал регистрации КС'!G$6:G$40,'Журнал регистрации КС'!K$6:K$40,"Саян З*",'Журнал регистрации КС'!I$6:I$40,"3")</f>
        <v>0</v>
      </c>
      <c r="M56" s="50">
        <f>_xlfn.SUMIFS('Журнал регистрации КС'!H$6:H$40,'Журнал регистрации КС'!K$6:K$40,"Саян З*",'Журнал регистрации КС'!I$6:I$40,"3")</f>
        <v>0</v>
      </c>
      <c r="N56" s="225">
        <f>_xlfn.COUNTIFS('Журнал регистрации КС'!K$6:K$40,"Саян З*",'Журнал регистрации КС'!I$6:I$40,"4")</f>
        <v>0</v>
      </c>
      <c r="O56" s="225">
        <f>_xlfn.SUMIFS('Журнал регистрации КС'!G$6:G$40,'Журнал регистрации КС'!K$6:K$40,"Саян З*",'Журнал регистрации КС'!I$6:I$40,"4")</f>
        <v>0</v>
      </c>
      <c r="P56" s="225">
        <f>_xlfn.SUMIFS('Журнал регистрации КС'!H$6:H$40,'Журнал регистрации КС'!K$6:K$40,"Саян З*",'Журнал регистрации КС'!I$6:I$40,"4")</f>
        <v>0</v>
      </c>
      <c r="Q56" s="46">
        <f t="shared" si="3"/>
        <v>0</v>
      </c>
      <c r="R56" s="112">
        <f t="shared" si="2"/>
        <v>0</v>
      </c>
    </row>
    <row r="57" spans="1:18" ht="13.5" customHeight="1">
      <c r="A57" s="49" t="s">
        <v>72</v>
      </c>
      <c r="B57" s="50">
        <f>COUNTIF('Журнал регистрации НК'!K$6:K$305,"Север Д*")</f>
        <v>0</v>
      </c>
      <c r="C57" s="50">
        <f>SUMIF('Журнал регистрации НК'!K$6:K$305,"Север Д*",'Журнал регистрации НК'!G$6:G$305)</f>
        <v>0</v>
      </c>
      <c r="D57" s="50">
        <f>SUMIF('Журнал регистрации НК'!K$6:K$305,"Север Д*",'Журнал регистрации НК'!H$6:H$305)</f>
        <v>0</v>
      </c>
      <c r="E57" s="50">
        <f>_xlfn.COUNTIFS('Журнал регистрации КС'!K$6:K$40,"Север Д*",'Журнал регистрации КС'!I$6:I$40,"1")+_xlfn.COUNTIFS('Журнал регистрации КС'!K$6:K$40,"Север Д*",'Журнал регистрации КС'!I$6:I$40,"1 с эл. 2 КС")</f>
        <v>0</v>
      </c>
      <c r="F57" s="54">
        <f>_xlfn.SUMIFS('Журнал регистрации КС'!G$6:G$40,'Журнал регистрации КС'!K$6:K$40,"Север Д*",'Журнал регистрации КС'!I$6:I$40,"1")+_xlfn.SUMIFS('Журнал регистрации КС'!G$6:G$40,'Журнал регистрации КС'!K$6:K$40,"Север Д*",'Журнал регистрации КС'!I$6:I$40,"1 с эл. 2 КС")</f>
        <v>0</v>
      </c>
      <c r="G57" s="54">
        <f>_xlfn.SUMIFS('Журнал регистрации КС'!H$6:H$40,'Журнал регистрации КС'!K$6:K$40,"Север Д*",'Журнал регистрации КС'!I$6:I$40,"1")+_xlfn.SUMIFS('Журнал регистрации КС'!H$6:H$40,'Журнал регистрации КС'!K$6:K$40,"Север Д*",'Журнал регистрации КС'!I$6:I$40,"1 с эл. 2 КС")</f>
        <v>0</v>
      </c>
      <c r="H57" s="50">
        <f>_xlfn.COUNTIFS('Журнал регистрации КС'!K$6:K$40,"Север Д*",'Журнал регистрации КС'!I$6:I$40,"2")+_xlfn.COUNTIFS('Журнал регистрации КС'!K$6:K$40,"Север Д*",'Журнал регистрации КС'!I$6:I$40,"2 с эл. 3 КС")</f>
        <v>0</v>
      </c>
      <c r="I57" s="54">
        <f>_xlfn.SUMIFS('Журнал регистрации КС'!G$6:G$40,'Журнал регистрации КС'!K$6:K$40,"Север Д*",'Журнал регистрации КС'!I$6:I$40,"2")+_xlfn.SUMIFS('Журнал регистрации КС'!H$6:H$40,'Журнал регистрации КС'!K$6:K$40,"Север Д*",'Журнал регистрации КС'!I$6:I$40,"2 с эл. 3 КС")</f>
        <v>0</v>
      </c>
      <c r="J57" s="54">
        <f>_xlfn.SUMIFS('Журнал регистрации КС'!H$6:H$40,'Журнал регистрации КС'!K$6:K$40,"Север Д*",'Журнал регистрации КС'!I$6:I$40,"2")+_xlfn.SUMIFS('Журнал регистрации КС'!H$6:H$40,'Журнал регистрации КС'!K$6:K$40,"Север Д*",'Журнал регистрации КС'!I$6:I$40,"2 с эл. 3 КС")</f>
        <v>0</v>
      </c>
      <c r="K57" s="50">
        <f>_xlfn.COUNTIFS('Журнал регистрации КС'!K$6:K$40,"Север Д*",'Журнал регистрации КС'!I$6:I$40,"3")</f>
        <v>0</v>
      </c>
      <c r="L57" s="50">
        <f>_xlfn.SUMIFS('Журнал регистрации КС'!G$6:G$40,'Журнал регистрации КС'!K$6:K$40,"Север Д*",'Журнал регистрации КС'!I$6:I$40,"3")</f>
        <v>0</v>
      </c>
      <c r="M57" s="50">
        <f>_xlfn.SUMIFS('Журнал регистрации КС'!H$6:H$40,'Журнал регистрации КС'!K$6:K$40,"Север Д*",'Журнал регистрации КС'!I$6:I$40,"3")</f>
        <v>0</v>
      </c>
      <c r="N57" s="225">
        <f>_xlfn.COUNTIFS('Журнал регистрации КС'!K$6:K$40,"Север Д*",'Журнал регистрации КС'!I$6:I$40,"4")</f>
        <v>0</v>
      </c>
      <c r="O57" s="225">
        <f>_xlfn.SUMIFS('Журнал регистрации КС'!G$6:G$40,'Журнал регистрации КС'!K$6:K$40,"Север Д*",'Журнал регистрации КС'!I$6:I$40,"4")</f>
        <v>0</v>
      </c>
      <c r="P57" s="225">
        <f>_xlfn.SUMIFS('Журнал регистрации КС'!H$6:H$40,'Журнал регистрации КС'!K$6:K$40,"Север Д*",'Журнал регистрации КС'!I$6:I$40,"4")</f>
        <v>0</v>
      </c>
      <c r="Q57" s="46">
        <f t="shared" si="3"/>
        <v>0</v>
      </c>
      <c r="R57" s="112">
        <f t="shared" si="2"/>
        <v>0</v>
      </c>
    </row>
    <row r="58" spans="1:18" ht="13.5" customHeight="1">
      <c r="A58" s="49" t="s">
        <v>71</v>
      </c>
      <c r="B58" s="50">
        <f>COUNTIF('Журнал регистрации НК'!K$6:K$305,"Северо-В*")</f>
        <v>0</v>
      </c>
      <c r="C58" s="50">
        <f>SUMIF('Журнал регистрации НК'!K$6:K$305,"Северо-В*",'Журнал регистрации НК'!G$6:G$305)</f>
        <v>0</v>
      </c>
      <c r="D58" s="50">
        <f>SUMIF('Журнал регистрации НК'!K$6:K$305,"Северо-В*",'Журнал регистрации НК'!H$6:H$305)</f>
        <v>0</v>
      </c>
      <c r="E58" s="50">
        <f>_xlfn.COUNTIFS('Журнал регистрации КС'!K$6:K$40,"Северо-В*",'Журнал регистрации КС'!I$6:I$40,"1")+_xlfn.COUNTIFS('Журнал регистрации КС'!K$6:K$40,"Северо-В*",'Журнал регистрации КС'!I$6:I$40,"1 с эл. 2 КС")</f>
        <v>0</v>
      </c>
      <c r="F58" s="54">
        <f>_xlfn.SUMIFS('Журнал регистрации КС'!G$6:G$40,'Журнал регистрации КС'!K$6:K$40,"Северо-В*",'Журнал регистрации КС'!I$6:I$40,"1")+_xlfn.SUMIFS('Журнал регистрации КС'!G$6:G$40,'Журнал регистрации КС'!K$6:K$40,"Северо-В*",'Журнал регистрации КС'!I$6:I$40,"1 с эл. 2 КС")</f>
        <v>0</v>
      </c>
      <c r="G58" s="54">
        <f>_xlfn.SUMIFS('Журнал регистрации КС'!H$6:H$40,'Журнал регистрации КС'!K$6:K$40,"Северо-В*",'Журнал регистрации КС'!I$6:I$40,"1")+_xlfn.SUMIFS('Журнал регистрации КС'!H$6:H$40,'Журнал регистрации КС'!K$6:K$40,"Северо-В*",'Журнал регистрации КС'!I$6:I$40,"1 с эл. 2 КС")</f>
        <v>0</v>
      </c>
      <c r="H58" s="50">
        <f>_xlfn.COUNTIFS('Журнал регистрации КС'!K$6:K$40,"Северо-В*",'Журнал регистрации КС'!I$6:I$40,"2")+_xlfn.COUNTIFS('Журнал регистрации КС'!K$6:K$40,"Северо-В*",'Журнал регистрации КС'!I$6:I$40,"2 с эл. 3 КС")</f>
        <v>0</v>
      </c>
      <c r="I58" s="54">
        <f>_xlfn.SUMIFS('Журнал регистрации КС'!G$6:G$40,'Журнал регистрации КС'!K$6:K$40,"Северо-В*",'Журнал регистрации КС'!I$6:I$40,"2")+_xlfn.SUMIFS('Журнал регистрации КС'!H$6:H$40,'Журнал регистрации КС'!K$6:K$40,"Северо-В*",'Журнал регистрации КС'!I$6:I$40,"2 с эл. 3 КС")</f>
        <v>0</v>
      </c>
      <c r="J58" s="54">
        <f>_xlfn.SUMIFS('Журнал регистрации КС'!H$6:H$40,'Журнал регистрации КС'!K$6:K$40,"Северо-В*",'Журнал регистрации КС'!I$6:I$40,"2")+_xlfn.SUMIFS('Журнал регистрации КС'!H$6:H$40,'Журнал регистрации КС'!K$6:K$40,"Северо-В*",'Журнал регистрации КС'!I$6:I$40,"2 с эл. 3 КС")</f>
        <v>0</v>
      </c>
      <c r="K58" s="50">
        <f>_xlfn.COUNTIFS('Журнал регистрации КС'!K$6:K$40,"Северо-В*",'Журнал регистрации КС'!I$6:I$40,"3")</f>
        <v>0</v>
      </c>
      <c r="L58" s="50">
        <f>_xlfn.SUMIFS('Журнал регистрации КС'!G$6:G$40,'Журнал регистрации КС'!K$6:K$40,"Северо-В*",'Журнал регистрации КС'!I$6:I$40,"3")</f>
        <v>0</v>
      </c>
      <c r="M58" s="50">
        <f>_xlfn.SUMIFS('Журнал регистрации КС'!H$6:H$40,'Журнал регистрации КС'!K$6:K$40,"Северо-В*",'Журнал регистрации КС'!I$6:I$40,"3")</f>
        <v>0</v>
      </c>
      <c r="N58" s="225">
        <f>_xlfn.COUNTIFS('Журнал регистрации КС'!K$6:K$40,"Северо-В*",'Журнал регистрации КС'!I$6:I$40,"4")</f>
        <v>0</v>
      </c>
      <c r="O58" s="225">
        <f>_xlfn.SUMIFS('Журнал регистрации КС'!G$6:G$40,'Журнал регистрации КС'!K$6:K$40,"Северо-В*",'Журнал регистрации КС'!I$6:I$40,"4")</f>
        <v>0</v>
      </c>
      <c r="P58" s="225">
        <f>_xlfn.SUMIFS('Журнал регистрации КС'!H$6:H$40,'Журнал регистрации КС'!K$6:K$40,"Северо-В*",'Журнал регистрации КС'!I$6:I$40,"4")</f>
        <v>0</v>
      </c>
      <c r="Q58" s="46">
        <f t="shared" si="3"/>
        <v>0</v>
      </c>
      <c r="R58" s="112">
        <f t="shared" si="2"/>
        <v>0</v>
      </c>
    </row>
    <row r="59" spans="1:18" ht="13.5" customHeight="1">
      <c r="A59" s="49" t="s">
        <v>69</v>
      </c>
      <c r="B59" s="50">
        <f>COUNTIF('Журнал регистрации НК'!K$6:K$305,"Среднесиб*")</f>
        <v>0</v>
      </c>
      <c r="C59" s="50">
        <f>SUMIF('Журнал регистрации НК'!K$6:K$305,"Среднесиб*",'Журнал регистрации НК'!G$6:G$305)</f>
        <v>0</v>
      </c>
      <c r="D59" s="50">
        <f>SUMIF('Журнал регистрации НК'!K$6:K$305,"Среднесиб*",'Журнал регистрации НК'!H$6:H$305)</f>
        <v>0</v>
      </c>
      <c r="E59" s="50">
        <f>_xlfn.COUNTIFS('Журнал регистрации КС'!K$6:K$40,"Среднесиб*",'Журнал регистрации КС'!I$6:I$40,"1")+_xlfn.COUNTIFS('Журнал регистрации КС'!K$6:K$40,"Среднесиб*",'Журнал регистрации КС'!I$6:I$40,"1 с эл. 2 КС")</f>
        <v>0</v>
      </c>
      <c r="F59" s="54">
        <f>_xlfn.SUMIFS('Журнал регистрации КС'!G$6:G$40,'Журнал регистрации КС'!K$6:K$40,"Среднесиб*",'Журнал регистрации КС'!I$6:I$40,"1")+_xlfn.SUMIFS('Журнал регистрации КС'!G$6:G$40,'Журнал регистрации КС'!K$6:K$40,"Среднесиб*",'Журнал регистрации КС'!I$6:I$40,"1 с эл. 2 КС")</f>
        <v>0</v>
      </c>
      <c r="G59" s="54">
        <f>_xlfn.SUMIFS('Журнал регистрации КС'!H$6:H$40,'Журнал регистрации КС'!K$6:K$40,"Среднесиб*",'Журнал регистрации КС'!I$6:I$40,"1")+_xlfn.SUMIFS('Журнал регистрации КС'!H$6:H$40,'Журнал регистрации КС'!K$6:K$40,"Среднесиб*",'Журнал регистрации КС'!I$6:I$40,"1 с эл. 2 КС")</f>
        <v>0</v>
      </c>
      <c r="H59" s="50">
        <f>_xlfn.COUNTIFS('Журнал регистрации КС'!K$6:K$40,"Среднесиб*",'Журнал регистрации КС'!I$6:I$40,"2")+_xlfn.COUNTIFS('Журнал регистрации КС'!K$6:K$40,"Среднесиб*",'Журнал регистрации КС'!I$6:I$40,"2 с эл. 3 КС")</f>
        <v>0</v>
      </c>
      <c r="I59" s="54">
        <f>_xlfn.SUMIFS('Журнал регистрации КС'!G$6:G$40,'Журнал регистрации КС'!K$6:K$40,"Среднесиб*",'Журнал регистрации КС'!I$6:I$40,"2")+_xlfn.SUMIFS('Журнал регистрации КС'!H$6:H$40,'Журнал регистрации КС'!K$6:K$40,"Среднесиб*",'Журнал регистрации КС'!I$6:I$40,"2 с эл. 3 КС")</f>
        <v>0</v>
      </c>
      <c r="J59" s="54">
        <f>_xlfn.SUMIFS('Журнал регистрации КС'!H$6:H$40,'Журнал регистрации КС'!K$6:K$40,"Среднесиб*",'Журнал регистрации КС'!I$6:I$40,"2")+_xlfn.SUMIFS('Журнал регистрации КС'!H$6:H$40,'Журнал регистрации КС'!K$6:K$40,"Среднесиб*",'Журнал регистрации КС'!I$6:I$40,"2 с эл. 3 КС")</f>
        <v>0</v>
      </c>
      <c r="K59" s="50">
        <f>_xlfn.COUNTIFS('Журнал регистрации КС'!K$6:K$40,"Среднесиб*",'Журнал регистрации КС'!I$6:I$40,"3")</f>
        <v>0</v>
      </c>
      <c r="L59" s="50">
        <f>_xlfn.SUMIFS('Журнал регистрации КС'!G$6:G$40,'Журнал регистрации КС'!K$6:K$40,"Среднесиб*",'Журнал регистрации КС'!I$6:I$40,"3")</f>
        <v>0</v>
      </c>
      <c r="M59" s="50">
        <f>_xlfn.SUMIFS('Журнал регистрации КС'!H$6:H$40,'Журнал регистрации КС'!K$6:K$40,"Среднесиб*",'Журнал регистрации КС'!I$6:I$40,"3")</f>
        <v>0</v>
      </c>
      <c r="N59" s="225">
        <f>_xlfn.COUNTIFS('Журнал регистрации КС'!K$6:K$40,"Среднесиб*",'Журнал регистрации КС'!I$6:I$40,"4")</f>
        <v>0</v>
      </c>
      <c r="O59" s="225">
        <f>_xlfn.SUMIFS('Журнал регистрации КС'!G$6:G$40,'Журнал регистрации КС'!K$6:K$40,"Среднесиб*",'Журнал регистрации КС'!I$6:I$40,"4")</f>
        <v>0</v>
      </c>
      <c r="P59" s="225">
        <f>_xlfn.SUMIFS('Журнал регистрации КС'!H$6:H$40,'Журнал регистрации КС'!K$6:K$40,"Среднесиб*",'Журнал регистрации КС'!I$6:I$40,"4")</f>
        <v>0</v>
      </c>
      <c r="Q59" s="46">
        <f t="shared" si="3"/>
        <v>0</v>
      </c>
      <c r="R59" s="112">
        <f t="shared" si="2"/>
        <v>0</v>
      </c>
    </row>
    <row r="60" spans="1:18" ht="13.5" customHeight="1">
      <c r="A60" s="49" t="s">
        <v>78</v>
      </c>
      <c r="B60" s="50">
        <f>COUNTIF('Журнал регистрации НК'!K$6:K$305,"Средняя А*")</f>
        <v>0</v>
      </c>
      <c r="C60" s="50">
        <f>SUMIF('Журнал регистрации НК'!K$6:K$305,"Средняя А*",'Журнал регистрации НК'!G$6:G$305)</f>
        <v>0</v>
      </c>
      <c r="D60" s="50">
        <f>SUMIF('Журнал регистрации НК'!K$6:K$305,"Средняя А*",'Журнал регистрации НК'!H$6:H$305)</f>
        <v>0</v>
      </c>
      <c r="E60" s="50">
        <f>_xlfn.COUNTIFS('Журнал регистрации КС'!K$6:K$40,"Средняя А*",'Журнал регистрации КС'!I$6:I$40,"1")+_xlfn.COUNTIFS('Журнал регистрации КС'!K$6:K$40,"Средняя А*",'Журнал регистрации КС'!I$6:I$40,"1 с эл. 2 КС")</f>
        <v>0</v>
      </c>
      <c r="F60" s="54">
        <f>_xlfn.SUMIFS('Журнал регистрации КС'!G$6:G$40,'Журнал регистрации КС'!K$6:K$40,"Средняя А*",'Журнал регистрации КС'!I$6:I$40,"1")+_xlfn.SUMIFS('Журнал регистрации КС'!G$6:G$40,'Журнал регистрации КС'!K$6:K$40,"Средняя А*",'Журнал регистрации КС'!I$6:I$40,"1 с эл. 2 КС")</f>
        <v>0</v>
      </c>
      <c r="G60" s="54">
        <f>_xlfn.SUMIFS('Журнал регистрации КС'!H$6:H$40,'Журнал регистрации КС'!K$6:K$40,"Средняя А*",'Журнал регистрации КС'!I$6:I$40,"1")+_xlfn.SUMIFS('Журнал регистрации КС'!H$6:H$40,'Журнал регистрации КС'!K$6:K$40,"Средняя А*",'Журнал регистрации КС'!I$6:I$40,"1 с эл. 2 КС")</f>
        <v>0</v>
      </c>
      <c r="H60" s="50">
        <f>_xlfn.COUNTIFS('Журнал регистрации КС'!K$6:K$40,"Средняя А*",'Журнал регистрации КС'!I$6:I$40,"2")+_xlfn.COUNTIFS('Журнал регистрации КС'!K$6:K$40,"Средняя А*",'Журнал регистрации КС'!I$6:I$40,"2 с эл. 3 КС")</f>
        <v>0</v>
      </c>
      <c r="I60" s="54">
        <f>_xlfn.SUMIFS('Журнал регистрации КС'!G$6:G$40,'Журнал регистрации КС'!K$6:K$40,"Средняя А*",'Журнал регистрации КС'!I$6:I$40,"2")+_xlfn.SUMIFS('Журнал регистрации КС'!H$6:H$40,'Журнал регистрации КС'!K$6:K$40,"Средняя А*",'Журнал регистрации КС'!I$6:I$40,"2 с эл. 3 КС")</f>
        <v>0</v>
      </c>
      <c r="J60" s="54">
        <f>_xlfn.SUMIFS('Журнал регистрации КС'!H$6:H$40,'Журнал регистрации КС'!K$6:K$40,"Средняя А*",'Журнал регистрации КС'!I$6:I$40,"2")+_xlfn.SUMIFS('Журнал регистрации КС'!H$6:H$40,'Журнал регистрации КС'!K$6:K$40,"Средняя А*",'Журнал регистрации КС'!I$6:I$40,"2 с эл. 3 КС")</f>
        <v>0</v>
      </c>
      <c r="K60" s="50">
        <f>_xlfn.COUNTIFS('Журнал регистрации КС'!K$6:K$40,"Средняя А*",'Журнал регистрации КС'!I$6:I$40,"3")</f>
        <v>0</v>
      </c>
      <c r="L60" s="50">
        <f>_xlfn.SUMIFS('Журнал регистрации КС'!G$6:G$40,'Журнал регистрации КС'!K$6:K$40,"Средняя А*",'Журнал регистрации КС'!I$6:I$40,"3")</f>
        <v>0</v>
      </c>
      <c r="M60" s="50">
        <f>_xlfn.SUMIFS('Журнал регистрации КС'!H$6:H$40,'Журнал регистрации КС'!K$6:K$40,"Средняя А*",'Журнал регистрации КС'!I$6:I$40,"3")</f>
        <v>0</v>
      </c>
      <c r="N60" s="225">
        <f>_xlfn.COUNTIFS('Журнал регистрации КС'!K$6:K$40,"Средняя А*",'Журнал регистрации КС'!I$6:I$40,"4")</f>
        <v>0</v>
      </c>
      <c r="O60" s="225">
        <f>_xlfn.SUMIFS('Журнал регистрации КС'!G$6:G$40,'Журнал регистрации КС'!K$6:K$40,"Средняя А*",'Журнал регистрации КС'!I$6:I$40,"4")</f>
        <v>0</v>
      </c>
      <c r="P60" s="225">
        <f>_xlfn.SUMIFS('Журнал регистрации КС'!H$6:H$40,'Журнал регистрации КС'!K$6:K$40,"Средняя А*",'Журнал регистрации КС'!I$6:I$40,"4")</f>
        <v>0</v>
      </c>
      <c r="Q60" s="46">
        <f t="shared" si="3"/>
        <v>0</v>
      </c>
      <c r="R60" s="112">
        <f t="shared" si="2"/>
        <v>0</v>
      </c>
    </row>
    <row r="61" spans="1:18" ht="13.5" customHeight="1">
      <c r="A61" s="49" t="s">
        <v>35</v>
      </c>
      <c r="B61" s="50">
        <f>COUNTIF('Журнал регистрации НК'!K$6:K$305,"Становой*")</f>
        <v>0</v>
      </c>
      <c r="C61" s="50">
        <f>SUMIF('Журнал регистрации НК'!K$6:K$305,"Становой*",'Журнал регистрации НК'!G$6:G$305)</f>
        <v>0</v>
      </c>
      <c r="D61" s="50">
        <f>SUMIF('Журнал регистрации НК'!K$6:K$305,"Становой*",'Журнал регистрации НК'!H$6:H$305)</f>
        <v>0</v>
      </c>
      <c r="E61" s="50">
        <f>_xlfn.COUNTIFS('Журнал регистрации КС'!K$6:K$40,"Становой*",'Журнал регистрации КС'!I$6:I$40,"1")+_xlfn.COUNTIFS('Журнал регистрации КС'!K$6:K$40,"Становой*",'Журнал регистрации КС'!I$6:I$40,"1 с эл. 2 КС")</f>
        <v>0</v>
      </c>
      <c r="F61" s="54">
        <f>_xlfn.SUMIFS('Журнал регистрации КС'!G$6:G$40,'Журнал регистрации КС'!K$6:K$40,"Становой*",'Журнал регистрации КС'!I$6:I$40,"1")+_xlfn.SUMIFS('Журнал регистрации КС'!G$6:G$40,'Журнал регистрации КС'!K$6:K$40,"Становой*",'Журнал регистрации КС'!I$6:I$40,"1 с эл. 2 КС")</f>
        <v>0</v>
      </c>
      <c r="G61" s="54">
        <f>_xlfn.SUMIFS('Журнал регистрации КС'!H$6:H$40,'Журнал регистрации КС'!K$6:K$40,"Становой*",'Журнал регистрации КС'!I$6:I$40,"1")+_xlfn.SUMIFS('Журнал регистрации КС'!H$6:H$40,'Журнал регистрации КС'!K$6:K$40,"Становой*",'Журнал регистрации КС'!I$6:I$40,"1 с эл. 2 КС")</f>
        <v>0</v>
      </c>
      <c r="H61" s="50">
        <f>_xlfn.COUNTIFS('Журнал регистрации КС'!K$6:K$40,"Становой*",'Журнал регистрации КС'!I$6:I$40,"2")+_xlfn.COUNTIFS('Журнал регистрации КС'!K$6:K$40,"Становой*",'Журнал регистрации КС'!I$6:I$40,"2 с эл. 3 КС")</f>
        <v>0</v>
      </c>
      <c r="I61" s="54">
        <f>_xlfn.SUMIFS('Журнал регистрации КС'!G$6:G$40,'Журнал регистрации КС'!K$6:K$40,"Становой*",'Журнал регистрации КС'!I$6:I$40,"2")+_xlfn.SUMIFS('Журнал регистрации КС'!H$6:H$40,'Журнал регистрации КС'!K$6:K$40,"Становой*",'Журнал регистрации КС'!I$6:I$40,"2 с эл. 3 КС")</f>
        <v>0</v>
      </c>
      <c r="J61" s="54">
        <f>_xlfn.SUMIFS('Журнал регистрации КС'!H$6:H$40,'Журнал регистрации КС'!K$6:K$40,"Становой*",'Журнал регистрации КС'!I$6:I$40,"2")+_xlfn.SUMIFS('Журнал регистрации КС'!H$6:H$40,'Журнал регистрации КС'!K$6:K$40,"Становой*",'Журнал регистрации КС'!I$6:I$40,"2 с эл. 3 КС")</f>
        <v>0</v>
      </c>
      <c r="K61" s="50">
        <f>_xlfn.COUNTIFS('Журнал регистрации КС'!K$6:K$40,"Становой*",'Журнал регистрации КС'!I$6:I$40,"3")</f>
        <v>0</v>
      </c>
      <c r="L61" s="50">
        <f>_xlfn.SUMIFS('Журнал регистрации КС'!G$6:G$40,'Журнал регистрации КС'!K$6:K$40,"Становой*",'Журнал регистрации КС'!I$6:I$40,"3")</f>
        <v>0</v>
      </c>
      <c r="M61" s="50">
        <f>_xlfn.SUMIFS('Журнал регистрации КС'!H$6:H$40,'Журнал регистрации КС'!K$6:K$40,"Становой*",'Журнал регистрации КС'!I$6:I$40,"3")</f>
        <v>0</v>
      </c>
      <c r="N61" s="225">
        <f>_xlfn.COUNTIFS('Журнал регистрации КС'!K$6:K$40,"Становой*",'Журнал регистрации КС'!I$6:I$40,"4")</f>
        <v>0</v>
      </c>
      <c r="O61" s="225">
        <f>_xlfn.SUMIFS('Журнал регистрации КС'!G$6:G$40,'Журнал регистрации КС'!K$6:K$40,"Становой*",'Журнал регистрации КС'!I$6:I$40,"4")</f>
        <v>0</v>
      </c>
      <c r="P61" s="225">
        <f>_xlfn.SUMIFS('Журнал регистрации КС'!H$6:H$40,'Журнал регистрации КС'!K$6:K$40,"Становой*",'Журнал регистрации КС'!I$6:I$40,"4")</f>
        <v>0</v>
      </c>
      <c r="Q61" s="46">
        <f t="shared" si="3"/>
        <v>0</v>
      </c>
      <c r="R61" s="112">
        <f t="shared" si="2"/>
        <v>0</v>
      </c>
    </row>
    <row r="62" spans="1:18" ht="13.5" customHeight="1">
      <c r="A62" s="49" t="s">
        <v>68</v>
      </c>
      <c r="B62" s="50">
        <f>COUNTIF('Журнал регистрации НК'!K$6:K$305,"Таймы*")</f>
        <v>0</v>
      </c>
      <c r="C62" s="50">
        <f>SUMIF('Журнал регистрации НК'!K$6:K$305,"Таймы*",'Журнал регистрации НК'!G$6:G$305)</f>
        <v>0</v>
      </c>
      <c r="D62" s="50">
        <f>SUMIF('Журнал регистрации НК'!K$6:K$305,"Таймы*",'Журнал регистрации НК'!H$6:H$305)</f>
        <v>0</v>
      </c>
      <c r="E62" s="50">
        <f>_xlfn.COUNTIFS('Журнал регистрации КС'!K$6:K$40,"Таймы*",'Журнал регистрации КС'!I$6:I$40,"1")+_xlfn.COUNTIFS('Журнал регистрации КС'!K$6:K$40,"Таймы*",'Журнал регистрации КС'!I$6:I$40,"1 с эл. 2 КС")</f>
        <v>0</v>
      </c>
      <c r="F62" s="54">
        <f>_xlfn.SUMIFS('Журнал регистрации КС'!G$6:G$40,'Журнал регистрации КС'!K$6:K$40,"Таймы*",'Журнал регистрации КС'!I$6:I$40,"1")+_xlfn.SUMIFS('Журнал регистрации КС'!G$6:G$40,'Журнал регистрации КС'!K$6:K$40,"Таймы*",'Журнал регистрации КС'!I$6:I$40,"1 с эл. 2 КС")</f>
        <v>0</v>
      </c>
      <c r="G62" s="54">
        <f>_xlfn.SUMIFS('Журнал регистрации КС'!H$6:H$40,'Журнал регистрации КС'!K$6:K$40,"Таймы*",'Журнал регистрации КС'!I$6:I$40,"1")+_xlfn.SUMIFS('Журнал регистрации КС'!H$6:H$40,'Журнал регистрации КС'!K$6:K$40,"Таймы*",'Журнал регистрации КС'!I$6:I$40,"1 с эл. 2 КС")</f>
        <v>0</v>
      </c>
      <c r="H62" s="50">
        <f>_xlfn.COUNTIFS('Журнал регистрации КС'!K$6:K$40,"Таймы*",'Журнал регистрации КС'!I$6:I$40,"2")+_xlfn.COUNTIFS('Журнал регистрации КС'!K$6:K$40,"Таймы*",'Журнал регистрации КС'!I$6:I$40,"2 с эл. 3 КС")</f>
        <v>0</v>
      </c>
      <c r="I62" s="54">
        <f>_xlfn.SUMIFS('Журнал регистрации КС'!G$6:G$40,'Журнал регистрации КС'!K$6:K$40,"Таймы*",'Журнал регистрации КС'!I$6:I$40,"2")+_xlfn.SUMIFS('Журнал регистрации КС'!H$6:H$40,'Журнал регистрации КС'!K$6:K$40,"Таймы*",'Журнал регистрации КС'!I$6:I$40,"2 с эл. 3 КС")</f>
        <v>0</v>
      </c>
      <c r="J62" s="54">
        <f>_xlfn.SUMIFS('Журнал регистрации КС'!H$6:H$40,'Журнал регистрации КС'!K$6:K$40,"Таймы*",'Журнал регистрации КС'!I$6:I$40,"2")+_xlfn.SUMIFS('Журнал регистрации КС'!H$6:H$40,'Журнал регистрации КС'!K$6:K$40,"Таймы*",'Журнал регистрации КС'!I$6:I$40,"2 с эл. 3 КС")</f>
        <v>0</v>
      </c>
      <c r="K62" s="50">
        <f>_xlfn.COUNTIFS('Журнал регистрации КС'!K$6:K$40,"Таймы*",'Журнал регистрации КС'!I$6:I$40,"3")</f>
        <v>0</v>
      </c>
      <c r="L62" s="50">
        <f>_xlfn.SUMIFS('Журнал регистрации КС'!G$6:G$40,'Журнал регистрации КС'!K$6:K$40,"Таймы*",'Журнал регистрации КС'!I$6:I$40,"3")</f>
        <v>0</v>
      </c>
      <c r="M62" s="50">
        <f>_xlfn.SUMIFS('Журнал регистрации КС'!H$6:H$40,'Журнал регистрации КС'!K$6:K$40,"Таймы*",'Журнал регистрации КС'!I$6:I$40,"3")</f>
        <v>0</v>
      </c>
      <c r="N62" s="225">
        <f>_xlfn.COUNTIFS('Журнал регистрации КС'!K$6:K$40,"Таймы*",'Журнал регистрации КС'!I$6:I$40,"4")</f>
        <v>0</v>
      </c>
      <c r="O62" s="225">
        <f>_xlfn.SUMIFS('Журнал регистрации КС'!G$6:G$40,'Журнал регистрации КС'!K$6:K$40,"Таймы*",'Журнал регистрации КС'!I$6:I$40,"4")</f>
        <v>0</v>
      </c>
      <c r="P62" s="225">
        <f>_xlfn.SUMIFS('Журнал регистрации КС'!H$6:H$40,'Журнал регистрации КС'!K$6:K$40,"Таймы*",'Журнал регистрации КС'!I$6:I$40,"4")</f>
        <v>0</v>
      </c>
      <c r="Q62" s="46">
        <f t="shared" si="3"/>
        <v>0</v>
      </c>
      <c r="R62" s="112">
        <f t="shared" si="2"/>
        <v>0</v>
      </c>
    </row>
    <row r="63" spans="1:18" ht="13.5" customHeight="1">
      <c r="A63" s="49" t="s">
        <v>44</v>
      </c>
      <c r="B63" s="50">
        <f>COUNTIF('Журнал регистрации НК'!K$6:K$305,"Тянь-Шань З*")</f>
        <v>0</v>
      </c>
      <c r="C63" s="50">
        <f>SUMIF('Журнал регистрации НК'!K$6:K$305,"Тянь-Шань З*",'Журнал регистрации НК'!G$6:G$305)</f>
        <v>0</v>
      </c>
      <c r="D63" s="50">
        <f>SUMIF('Журнал регистрации НК'!K$6:K$305,"Тянь-Шань З*",'Журнал регистрации НК'!H$6:H$305)</f>
        <v>0</v>
      </c>
      <c r="E63" s="50">
        <f>_xlfn.COUNTIFS('Журнал регистрации КС'!K$6:K$40,"Тянь-Шань З*",'Журнал регистрации КС'!I$6:I$40,"1")+_xlfn.COUNTIFS('Журнал регистрации КС'!K$6:K$40,"Тянь-Шань З*",'Журнал регистрации КС'!I$6:I$40,"1 с эл. 2 КС")</f>
        <v>0</v>
      </c>
      <c r="F63" s="54">
        <f>_xlfn.SUMIFS('Журнал регистрации КС'!G$6:G$40,'Журнал регистрации КС'!K$6:K$40,"Тянь-Шань З*",'Журнал регистрации КС'!I$6:I$40,"1")+_xlfn.SUMIFS('Журнал регистрации КС'!G$6:G$40,'Журнал регистрации КС'!K$6:K$40,"Тянь-Шань З*",'Журнал регистрации КС'!I$6:I$40,"1 с эл. 2 КС")</f>
        <v>0</v>
      </c>
      <c r="G63" s="54">
        <f>_xlfn.SUMIFS('Журнал регистрации КС'!H$6:H$40,'Журнал регистрации КС'!K$6:K$40,"Тянь-Шань З*",'Журнал регистрации КС'!I$6:I$40,"1")+_xlfn.SUMIFS('Журнал регистрации КС'!H$6:H$40,'Журнал регистрации КС'!K$6:K$40,"Тянь-Шань З*",'Журнал регистрации КС'!I$6:I$40,"1 с эл. 2 КС")</f>
        <v>0</v>
      </c>
      <c r="H63" s="50">
        <f>_xlfn.COUNTIFS('Журнал регистрации КС'!K$6:K$40,"Тянь-Шань З*",'Журнал регистрации КС'!I$6:I$40,"2")+_xlfn.COUNTIFS('Журнал регистрации КС'!K$6:K$40,"Тянь-Шань З*",'Журнал регистрации КС'!I$6:I$40,"2 с эл. 3 КС")</f>
        <v>0</v>
      </c>
      <c r="I63" s="54">
        <f>_xlfn.SUMIFS('Журнал регистрации КС'!G$6:G$40,'Журнал регистрации КС'!K$6:K$40,"Тянь-Шань З*",'Журнал регистрации КС'!I$6:I$40,"2")+_xlfn.SUMIFS('Журнал регистрации КС'!H$6:H$40,'Журнал регистрации КС'!K$6:K$40,"Тянь-Шань З*",'Журнал регистрации КС'!I$6:I$40,"2 с эл. 3 КС")</f>
        <v>0</v>
      </c>
      <c r="J63" s="54">
        <f>_xlfn.SUMIFS('Журнал регистрации КС'!H$6:H$40,'Журнал регистрации КС'!K$6:K$40,"Тянь-Шань З*",'Журнал регистрации КС'!I$6:I$40,"2")+_xlfn.SUMIFS('Журнал регистрации КС'!H$6:H$40,'Журнал регистрации КС'!K$6:K$40,"Тянь-Шань З*",'Журнал регистрации КС'!I$6:I$40,"2 с эл. 3 КС")</f>
        <v>0</v>
      </c>
      <c r="K63" s="50">
        <f>_xlfn.COUNTIFS('Журнал регистрации КС'!K$6:K$40,"Тянь-Шань З*",'Журнал регистрации КС'!I$6:I$40,"3")</f>
        <v>0</v>
      </c>
      <c r="L63" s="50">
        <f>_xlfn.SUMIFS('Журнал регистрации КС'!G$6:G$40,'Журнал регистрации КС'!K$6:K$40,"Тянь-Шань З*",'Журнал регистрации КС'!I$6:I$40,"3")</f>
        <v>0</v>
      </c>
      <c r="M63" s="50">
        <f>_xlfn.SUMIFS('Журнал регистрации КС'!H$6:H$40,'Журнал регистрации КС'!K$6:K$40,"Тянь-Шань З*",'Журнал регистрации КС'!I$6:I$40,"3")</f>
        <v>0</v>
      </c>
      <c r="N63" s="225">
        <f>_xlfn.COUNTIFS('Журнал регистрации КС'!K$6:K$40,"Тянь-Шань З*",'Журнал регистрации КС'!I$6:I$40,"4")</f>
        <v>0</v>
      </c>
      <c r="O63" s="225">
        <f>_xlfn.SUMIFS('Журнал регистрации КС'!G$6:G$40,'Журнал регистрации КС'!K$6:K$40,"Тянь-Шань З*",'Журнал регистрации КС'!I$6:I$40,"4")</f>
        <v>0</v>
      </c>
      <c r="P63" s="225">
        <f>_xlfn.SUMIFS('Журнал регистрации КС'!H$6:H$40,'Журнал регистрации КС'!K$6:K$40,"Тянь-Шань З*",'Журнал регистрации КС'!I$6:I$40,"4")</f>
        <v>0</v>
      </c>
      <c r="Q63" s="46">
        <f t="shared" si="3"/>
        <v>0</v>
      </c>
      <c r="R63" s="112">
        <f t="shared" si="2"/>
        <v>0</v>
      </c>
    </row>
    <row r="64" spans="1:18" ht="13.5" customHeight="1">
      <c r="A64" s="49" t="s">
        <v>48</v>
      </c>
      <c r="B64" s="50">
        <f>COUNTIF('Журнал регистрации НК'!K$6:K$305,"Тянь-Шань С*")</f>
        <v>0</v>
      </c>
      <c r="C64" s="50">
        <f>SUMIF('Журнал регистрации НК'!K$6:K$305,"Тянь-Шань С*",'Журнал регистрации НК'!G$6:G$305)</f>
        <v>0</v>
      </c>
      <c r="D64" s="50">
        <f>SUMIF('Журнал регистрации НК'!K$6:K$305,"Тянь-Шань С*",'Журнал регистрации НК'!H$6:H$305)</f>
        <v>0</v>
      </c>
      <c r="E64" s="50">
        <f>_xlfn.COUNTIFS('Журнал регистрации КС'!K$6:K$40,"Тянь-Шань С*",'Журнал регистрации КС'!I$6:I$40,"1")+_xlfn.COUNTIFS('Журнал регистрации КС'!K$6:K$40,"Тянь-Шань С*",'Журнал регистрации КС'!I$6:I$40,"1 с эл. 2 КС")</f>
        <v>0</v>
      </c>
      <c r="F64" s="54">
        <f>_xlfn.SUMIFS('Журнал регистрации КС'!G$6:G$40,'Журнал регистрации КС'!K$6:K$40,"Тянь-Шань С*",'Журнал регистрации КС'!I$6:I$40,"1")+_xlfn.SUMIFS('Журнал регистрации КС'!G$6:G$40,'Журнал регистрации КС'!K$6:K$40,"Тянь-Шань С*",'Журнал регистрации КС'!I$6:I$40,"1 с эл. 2 КС")</f>
        <v>0</v>
      </c>
      <c r="G64" s="54">
        <f>_xlfn.SUMIFS('Журнал регистрации КС'!H$6:H$40,'Журнал регистрации КС'!K$6:K$40,"Тянь-Шань С*",'Журнал регистрации КС'!I$6:I$40,"1")+_xlfn.SUMIFS('Журнал регистрации КС'!H$6:H$40,'Журнал регистрации КС'!K$6:K$40,"Тянь-Шань С*",'Журнал регистрации КС'!I$6:I$40,"1 с эл. 2 КС")</f>
        <v>0</v>
      </c>
      <c r="H64" s="50">
        <f>_xlfn.COUNTIFS('Журнал регистрации КС'!K$6:K$40,"Тянь-Шань С*",'Журнал регистрации КС'!I$6:I$40,"2")+_xlfn.COUNTIFS('Журнал регистрации КС'!K$6:K$40,"Тянь-Шань С*",'Журнал регистрации КС'!I$6:I$40,"2 с эл. 3 КС")</f>
        <v>0</v>
      </c>
      <c r="I64" s="54">
        <f>_xlfn.SUMIFS('Журнал регистрации КС'!G$6:G$40,'Журнал регистрации КС'!K$6:K$40,"Тянь-Шань С*",'Журнал регистрации КС'!I$6:I$40,"2")+_xlfn.SUMIFS('Журнал регистрации КС'!H$6:H$40,'Журнал регистрации КС'!K$6:K$40,"Тянь-Шань С*",'Журнал регистрации КС'!I$6:I$40,"2 с эл. 3 КС")</f>
        <v>0</v>
      </c>
      <c r="J64" s="54">
        <f>_xlfn.SUMIFS('Журнал регистрации КС'!H$6:H$40,'Журнал регистрации КС'!K$6:K$40,"Тянь-Шань С*",'Журнал регистрации КС'!I$6:I$40,"2")+_xlfn.SUMIFS('Журнал регистрации КС'!H$6:H$40,'Журнал регистрации КС'!K$6:K$40,"Тянь-Шань С*",'Журнал регистрации КС'!I$6:I$40,"2 с эл. 3 КС")</f>
        <v>0</v>
      </c>
      <c r="K64" s="50">
        <f>_xlfn.COUNTIFS('Журнал регистрации КС'!K$6:K$40,"Тянь-Шань С*",'Журнал регистрации КС'!I$6:I$40,"3")</f>
        <v>0</v>
      </c>
      <c r="L64" s="50">
        <f>_xlfn.SUMIFS('Журнал регистрации КС'!G$6:G$40,'Журнал регистрации КС'!K$6:K$40,"Тянь-Шань С*",'Журнал регистрации КС'!I$6:I$40,"3")</f>
        <v>0</v>
      </c>
      <c r="M64" s="50">
        <f>_xlfn.SUMIFS('Журнал регистрации КС'!H$6:H$40,'Журнал регистрации КС'!K$6:K$40,"Тянь-Шань С*",'Журнал регистрации КС'!I$6:I$40,"3")</f>
        <v>0</v>
      </c>
      <c r="N64" s="225">
        <f>_xlfn.COUNTIFS('Журнал регистрации КС'!K$6:K$40,"Тянь-Шань С*",'Журнал регистрации КС'!I$6:I$40,"4")</f>
        <v>0</v>
      </c>
      <c r="O64" s="225">
        <f>_xlfn.SUMIFS('Журнал регистрации КС'!G$6:G$40,'Журнал регистрации КС'!K$6:K$40,"Тянь-Шань С*",'Журнал регистрации КС'!I$6:I$40,"4")</f>
        <v>0</v>
      </c>
      <c r="P64" s="225">
        <f>_xlfn.SUMIFS('Журнал регистрации КС'!H$6:H$40,'Журнал регистрации КС'!K$6:K$40,"Тянь-Шань С*",'Журнал регистрации КС'!I$6:I$40,"4")</f>
        <v>0</v>
      </c>
      <c r="Q64" s="46">
        <f t="shared" si="3"/>
        <v>0</v>
      </c>
      <c r="R64" s="112">
        <f t="shared" si="2"/>
        <v>0</v>
      </c>
    </row>
    <row r="65" spans="1:18" ht="13.5" customHeight="1">
      <c r="A65" s="49" t="s">
        <v>49</v>
      </c>
      <c r="B65" s="50">
        <f>COUNTIF('Журнал регистрации НК'!K$6:K$305,"Тянь-Шань Ц*")</f>
        <v>0</v>
      </c>
      <c r="C65" s="50">
        <f>SUMIF('Журнал регистрации НК'!K$6:K$305,"Тянь-Шань Ц*",'Журнал регистрации НК'!G$6:G$305)</f>
        <v>0</v>
      </c>
      <c r="D65" s="50">
        <f>SUMIF('Журнал регистрации НК'!K$6:K$305,"Тянь-Шань Ц*",'Журнал регистрации НК'!H$6:H$305)</f>
        <v>0</v>
      </c>
      <c r="E65" s="50">
        <f>_xlfn.COUNTIFS('Журнал регистрации КС'!K$6:K$40,"Тянь-Шань Ц*",'Журнал регистрации КС'!I$6:I$40,"1")+_xlfn.COUNTIFS('Журнал регистрации КС'!K$6:K$40,"Тянь-Шань Ц*",'Журнал регистрации КС'!I$6:I$40,"1 с эл. 2 КС")</f>
        <v>0</v>
      </c>
      <c r="F65" s="54">
        <f>_xlfn.SUMIFS('Журнал регистрации КС'!G$6:G$40,'Журнал регистрации КС'!K$6:K$40,"Тянь-Шань Ц*",'Журнал регистрации КС'!I$6:I$40,"1")+_xlfn.SUMIFS('Журнал регистрации КС'!G$6:G$40,'Журнал регистрации КС'!K$6:K$40,"Тянь-Шань Ц*",'Журнал регистрации КС'!I$6:I$40,"1 с эл. 2 КС")</f>
        <v>0</v>
      </c>
      <c r="G65" s="54">
        <f>_xlfn.SUMIFS('Журнал регистрации КС'!H$6:H$40,'Журнал регистрации КС'!K$6:K$40,"Тянь-Шань Ц*",'Журнал регистрации КС'!I$6:I$40,"1")+_xlfn.SUMIFS('Журнал регистрации КС'!H$6:H$40,'Журнал регистрации КС'!K$6:K$40,"Тянь-Шань Ц*",'Журнал регистрации КС'!I$6:I$40,"1 с эл. 2 КС")</f>
        <v>0</v>
      </c>
      <c r="H65" s="50">
        <f>_xlfn.COUNTIFS('Журнал регистрации КС'!K$6:K$40,"Тянь-Шань Ц*",'Журнал регистрации КС'!I$6:I$40,"2")+_xlfn.COUNTIFS('Журнал регистрации КС'!K$6:K$40,"Тянь-Шань Ц*",'Журнал регистрации КС'!I$6:I$40,"2 с эл. 3 КС")</f>
        <v>0</v>
      </c>
      <c r="I65" s="54">
        <f>_xlfn.SUMIFS('Журнал регистрации КС'!G$6:G$40,'Журнал регистрации КС'!K$6:K$40,"Тянь-Шань Ц*",'Журнал регистрации КС'!I$6:I$40,"2")+_xlfn.SUMIFS('Журнал регистрации КС'!H$6:H$40,'Журнал регистрации КС'!K$6:K$40,"Тянь-Шань Ц*",'Журнал регистрации КС'!I$6:I$40,"2 с эл. 3 КС")</f>
        <v>0</v>
      </c>
      <c r="J65" s="54">
        <f>_xlfn.SUMIFS('Журнал регистрации КС'!H$6:H$40,'Журнал регистрации КС'!K$6:K$40,"Тянь-Шань Ц*",'Журнал регистрации КС'!I$6:I$40,"2")+_xlfn.SUMIFS('Журнал регистрации КС'!H$6:H$40,'Журнал регистрации КС'!K$6:K$40,"Тянь-Шань Ц*",'Журнал регистрации КС'!I$6:I$40,"2 с эл. 3 КС")</f>
        <v>0</v>
      </c>
      <c r="K65" s="50">
        <f>_xlfn.COUNTIFS('Журнал регистрации КС'!K$6:K$40,"Тянь-Шань Ц*",'Журнал регистрации КС'!I$6:I$40,"3")</f>
        <v>0</v>
      </c>
      <c r="L65" s="50">
        <f>_xlfn.SUMIFS('Журнал регистрации КС'!G$6:G$40,'Журнал регистрации КС'!K$6:K$40,"Тянь-Шань Ц*",'Журнал регистрации КС'!I$6:I$40,"3")</f>
        <v>0</v>
      </c>
      <c r="M65" s="50">
        <f>_xlfn.SUMIFS('Журнал регистрации КС'!H$6:H$40,'Журнал регистрации КС'!K$6:K$40,"Тянь-Шань Ц*",'Журнал регистрации КС'!I$6:I$40,"3")</f>
        <v>0</v>
      </c>
      <c r="N65" s="225">
        <f>_xlfn.COUNTIFS('Журнал регистрации КС'!K$6:K$40,"Тянь-Шань Ц*",'Журнал регистрации КС'!I$6:I$40,"4")</f>
        <v>0</v>
      </c>
      <c r="O65" s="225">
        <f>_xlfn.SUMIFS('Журнал регистрации КС'!G$6:G$40,'Журнал регистрации КС'!K$6:K$40,"Тянь-Шань Ц*",'Журнал регистрации КС'!I$6:I$40,"4")</f>
        <v>0</v>
      </c>
      <c r="P65" s="225">
        <f>_xlfn.SUMIFS('Журнал регистрации КС'!H$6:H$40,'Журнал регистрации КС'!K$6:K$40,"Тянь-Шань Ц*",'Журнал регистрации КС'!I$6:I$40,"4")</f>
        <v>0</v>
      </c>
      <c r="Q65" s="46">
        <f t="shared" si="3"/>
        <v>0</v>
      </c>
      <c r="R65" s="112">
        <f t="shared" si="2"/>
        <v>0</v>
      </c>
    </row>
    <row r="66" spans="1:18" ht="13.5" customHeight="1">
      <c r="A66" s="49" t="s">
        <v>45</v>
      </c>
      <c r="B66" s="50">
        <f>COUNTIF('Журнал регистрации НК'!K$6:K$305,"Урал Пол*")</f>
        <v>0</v>
      </c>
      <c r="C66" s="50">
        <f>SUMIF('Журнал регистрации НК'!K$6:K$305,"Урал Пол*",'Журнал регистрации НК'!G$6:G$305)</f>
        <v>0</v>
      </c>
      <c r="D66" s="50">
        <f>SUMIF('Журнал регистрации НК'!K$6:K$305,"Урал Пол*",'Журнал регистрации НК'!H$6:H$305)</f>
        <v>0</v>
      </c>
      <c r="E66" s="50">
        <f>_xlfn.COUNTIFS('Журнал регистрации КС'!K$6:K$40,"Урал Пол*",'Журнал регистрации КС'!I$6:I$40,"1")+_xlfn.COUNTIFS('Журнал регистрации КС'!K$6:K$40,"Урал Пол*",'Журнал регистрации КС'!I$6:I$40,"1 с эл. 2 КС")</f>
        <v>0</v>
      </c>
      <c r="F66" s="54">
        <f>_xlfn.SUMIFS('Журнал регистрации КС'!G$6:G$40,'Журнал регистрации КС'!K$6:K$40,"Урал Пол*",'Журнал регистрации КС'!I$6:I$40,"1")+_xlfn.SUMIFS('Журнал регистрации КС'!G$6:G$40,'Журнал регистрации КС'!K$6:K$40,"Урал Пол*",'Журнал регистрации КС'!I$6:I$40,"1 с эл. 2 КС")</f>
        <v>0</v>
      </c>
      <c r="G66" s="54">
        <f>_xlfn.SUMIFS('Журнал регистрации КС'!H$6:H$40,'Журнал регистрации КС'!K$6:K$40,"Урал Пол*",'Журнал регистрации КС'!I$6:I$40,"1")+_xlfn.SUMIFS('Журнал регистрации КС'!H$6:H$40,'Журнал регистрации КС'!K$6:K$40,"Урал Пол*",'Журнал регистрации КС'!I$6:I$40,"1 с эл. 2 КС")</f>
        <v>0</v>
      </c>
      <c r="H66" s="50">
        <f>_xlfn.COUNTIFS('Журнал регистрации КС'!K$6:K$40,"Урал Пол*",'Журнал регистрации КС'!I$6:I$40,"2")+_xlfn.COUNTIFS('Журнал регистрации КС'!K$6:K$40,"Урал Пол*",'Журнал регистрации КС'!I$6:I$40,"2 с эл. 3 КС")</f>
        <v>0</v>
      </c>
      <c r="I66" s="54">
        <f>_xlfn.SUMIFS('Журнал регистрации КС'!G$6:G$40,'Журнал регистрации КС'!K$6:K$40,"Урал Пол*",'Журнал регистрации КС'!I$6:I$40,"2")+_xlfn.SUMIFS('Журнал регистрации КС'!H$6:H$40,'Журнал регистрации КС'!K$6:K$40,"Урал Пол*",'Журнал регистрации КС'!I$6:I$40,"2 с эл. 3 КС")</f>
        <v>0</v>
      </c>
      <c r="J66" s="54">
        <f>_xlfn.SUMIFS('Журнал регистрации КС'!H$6:H$40,'Журнал регистрации КС'!K$6:K$40,"Урал Пол*",'Журнал регистрации КС'!I$6:I$40,"2")+_xlfn.SUMIFS('Журнал регистрации КС'!H$6:H$40,'Журнал регистрации КС'!K$6:K$40,"Урал Пол*",'Журнал регистрации КС'!I$6:I$40,"2 с эл. 3 КС")</f>
        <v>0</v>
      </c>
      <c r="K66" s="50">
        <f>_xlfn.COUNTIFS('Журнал регистрации КС'!K$6:K$40,"Урал Пол*",'Журнал регистрации КС'!I$6:I$40,"3")</f>
        <v>0</v>
      </c>
      <c r="L66" s="50">
        <f>_xlfn.SUMIFS('Журнал регистрации КС'!G$6:G$40,'Журнал регистрации КС'!K$6:K$40,"Урал Пол*",'Журнал регистрации КС'!I$6:I$40,"3")</f>
        <v>0</v>
      </c>
      <c r="M66" s="50">
        <f>_xlfn.SUMIFS('Журнал регистрации КС'!H$6:H$40,'Журнал регистрации КС'!K$6:K$40,"Урал Пол*",'Журнал регистрации КС'!I$6:I$40,"3")</f>
        <v>0</v>
      </c>
      <c r="N66" s="225">
        <f>_xlfn.COUNTIFS('Журнал регистрации КС'!K$6:K$40,"Урал Пол*",'Журнал регистрации КС'!I$6:I$40,"4")</f>
        <v>0</v>
      </c>
      <c r="O66" s="225">
        <f>_xlfn.SUMIFS('Журнал регистрации КС'!G$6:G$40,'Журнал регистрации КС'!K$6:K$40,"Урал Пол*",'Журнал регистрации КС'!I$6:I$40,"4")</f>
        <v>0</v>
      </c>
      <c r="P66" s="225">
        <f>_xlfn.SUMIFS('Журнал регистрации КС'!H$6:H$40,'Журнал регистрации КС'!K$6:K$40,"Урал Пол*",'Журнал регистрации КС'!I$6:I$40,"4")</f>
        <v>0</v>
      </c>
      <c r="Q66" s="46">
        <f t="shared" si="3"/>
        <v>0</v>
      </c>
      <c r="R66" s="112">
        <f t="shared" si="2"/>
        <v>0</v>
      </c>
    </row>
    <row r="67" spans="1:18" ht="13.5" customHeight="1">
      <c r="A67" s="49" t="s">
        <v>46</v>
      </c>
      <c r="B67" s="50">
        <f>COUNTIF('Журнал регистрации НК'!K$6:K$305,"Урал Прип*")</f>
        <v>0</v>
      </c>
      <c r="C67" s="50">
        <f>SUMIF('Журнал регистрации НК'!K$6:K$305,"Урал Прип*",'Журнал регистрации НК'!G$6:G$305)</f>
        <v>0</v>
      </c>
      <c r="D67" s="50">
        <f>SUMIF('Журнал регистрации НК'!K$6:K$305,"Урал Прип*",'Журнал регистрации НК'!H$6:H$305)</f>
        <v>0</v>
      </c>
      <c r="E67" s="50">
        <f>_xlfn.COUNTIFS('Журнал регистрации КС'!K$6:K$40,"Урал Прип*",'Журнал регистрации КС'!I$6:I$40,"1")+_xlfn.COUNTIFS('Журнал регистрации КС'!K$6:K$40,"Урал Прип*",'Журнал регистрации КС'!I$6:I$40,"1 с эл. 2 КС")</f>
        <v>0</v>
      </c>
      <c r="F67" s="54">
        <f>_xlfn.SUMIFS('Журнал регистрации КС'!G$6:G$40,'Журнал регистрации КС'!K$6:K$40,"Урал Прип*",'Журнал регистрации КС'!I$6:I$40,"1")+_xlfn.SUMIFS('Журнал регистрации КС'!G$6:G$40,'Журнал регистрации КС'!K$6:K$40,"Урал Прип*",'Журнал регистрации КС'!I$6:I$40,"1 с эл. 2 КС")</f>
        <v>0</v>
      </c>
      <c r="G67" s="54">
        <f>_xlfn.SUMIFS('Журнал регистрации КС'!H$6:H$40,'Журнал регистрации КС'!K$6:K$40,"Урал Прип*",'Журнал регистрации КС'!I$6:I$40,"1")+_xlfn.SUMIFS('Журнал регистрации КС'!H$6:H$40,'Журнал регистрации КС'!K$6:K$40,"Урал Прип*",'Журнал регистрации КС'!I$6:I$40,"1 с эл. 2 КС")</f>
        <v>0</v>
      </c>
      <c r="H67" s="50">
        <f>_xlfn.COUNTIFS('Журнал регистрации КС'!K$6:K$40,"Урал Прип*",'Журнал регистрации КС'!I$6:I$40,"2")+_xlfn.COUNTIFS('Журнал регистрации КС'!K$6:K$40,"Урал Прип*",'Журнал регистрации КС'!I$6:I$40,"2 с эл. 3 КС")</f>
        <v>0</v>
      </c>
      <c r="I67" s="54">
        <f>_xlfn.SUMIFS('Журнал регистрации КС'!G$6:G$40,'Журнал регистрации КС'!K$6:K$40,"Урал Прип*",'Журнал регистрации КС'!I$6:I$40,"2")+_xlfn.SUMIFS('Журнал регистрации КС'!H$6:H$40,'Журнал регистрации КС'!K$6:K$40,"Урал Прип*",'Журнал регистрации КС'!I$6:I$40,"2 с эл. 3 КС")</f>
        <v>0</v>
      </c>
      <c r="J67" s="54">
        <f>_xlfn.SUMIFS('Журнал регистрации КС'!H$6:H$40,'Журнал регистрации КС'!K$6:K$40,"Урал Прип*",'Журнал регистрации КС'!I$6:I$40,"2")+_xlfn.SUMIFS('Журнал регистрации КС'!H$6:H$40,'Журнал регистрации КС'!K$6:K$40,"Урал Прип*",'Журнал регистрации КС'!I$6:I$40,"2 с эл. 3 КС")</f>
        <v>0</v>
      </c>
      <c r="K67" s="50">
        <f>_xlfn.COUNTIFS('Журнал регистрации КС'!K$6:K$40,"Урал Прип*",'Журнал регистрации КС'!I$6:I$40,"3")</f>
        <v>0</v>
      </c>
      <c r="L67" s="50">
        <f>_xlfn.SUMIFS('Журнал регистрации КС'!G$6:G$40,'Журнал регистрации КС'!K$6:K$40,"Урал Прип*",'Журнал регистрации КС'!I$6:I$40,"3")</f>
        <v>0</v>
      </c>
      <c r="M67" s="50">
        <f>_xlfn.SUMIFS('Журнал регистрации КС'!H$6:H$40,'Журнал регистрации КС'!K$6:K$40,"Урал Прип*",'Журнал регистрации КС'!I$6:I$40,"3")</f>
        <v>0</v>
      </c>
      <c r="N67" s="225">
        <f>_xlfn.COUNTIFS('Журнал регистрации КС'!K$6:K$40,"Урал Прип*",'Журнал регистрации КС'!I$6:I$40,"4")</f>
        <v>0</v>
      </c>
      <c r="O67" s="225">
        <f>_xlfn.SUMIFS('Журнал регистрации КС'!G$6:G$40,'Журнал регистрации КС'!K$6:K$40,"Урал Прип*",'Журнал регистрации КС'!I$6:I$40,"4")</f>
        <v>0</v>
      </c>
      <c r="P67" s="225">
        <f>_xlfn.SUMIFS('Журнал регистрации КС'!H$6:H$40,'Журнал регистрации КС'!K$6:K$40,"Урал Прип*",'Журнал регистрации КС'!I$6:I$40,"4")</f>
        <v>0</v>
      </c>
      <c r="Q67" s="46">
        <f t="shared" si="3"/>
        <v>0</v>
      </c>
      <c r="R67" s="112">
        <f t="shared" si="2"/>
        <v>0</v>
      </c>
    </row>
    <row r="68" spans="1:18" ht="13.5" customHeight="1">
      <c r="A68" s="49" t="s">
        <v>56</v>
      </c>
      <c r="B68" s="50">
        <f>COUNTIF('Журнал регистрации НК'!K$6:K$305,"Урал Сев*")</f>
        <v>0</v>
      </c>
      <c r="C68" s="50">
        <f>SUMIF('Журнал регистрации НК'!K$6:K$305,"Урал Сев*",'Журнал регистрации НК'!G$6:G$305)</f>
        <v>0</v>
      </c>
      <c r="D68" s="50">
        <f>SUMIF('Журнал регистрации НК'!K$6:K$305,"Урал Сев*",'Журнал регистрации НК'!H$6:H$305)</f>
        <v>0</v>
      </c>
      <c r="E68" s="50">
        <f>_xlfn.COUNTIFS('Журнал регистрации КС'!K$6:K$40,"Урал Сев*",'Журнал регистрации КС'!I$6:I$40,"1")+_xlfn.COUNTIFS('Журнал регистрации КС'!K$6:K$40,"Урал Сев*",'Журнал регистрации КС'!I$6:I$40,"1 с эл. 2 КС")</f>
        <v>0</v>
      </c>
      <c r="F68" s="54">
        <f>_xlfn.SUMIFS('Журнал регистрации КС'!G$6:G$40,'Журнал регистрации КС'!K$6:K$40,"Урал Сев*",'Журнал регистрации КС'!I$6:I$40,"1")+_xlfn.SUMIFS('Журнал регистрации КС'!G$6:G$40,'Журнал регистрации КС'!K$6:K$40,"Урал Сев*",'Журнал регистрации КС'!I$6:I$40,"1 с эл. 2 КС")</f>
        <v>0</v>
      </c>
      <c r="G68" s="54">
        <f>_xlfn.SUMIFS('Журнал регистрации КС'!H$6:H$40,'Журнал регистрации КС'!K$6:K$40,"Урал Сев*",'Журнал регистрации КС'!I$6:I$40,"1")+_xlfn.SUMIFS('Журнал регистрации КС'!H$6:H$40,'Журнал регистрации КС'!K$6:K$40,"Урал Сев*",'Журнал регистрации КС'!I$6:I$40,"1 с эл. 2 КС")</f>
        <v>0</v>
      </c>
      <c r="H68" s="50">
        <f>_xlfn.COUNTIFS('Журнал регистрации КС'!K$6:K$40,"Урал Сев*",'Журнал регистрации КС'!I$6:I$40,"2")+_xlfn.COUNTIFS('Журнал регистрации КС'!K$6:K$40,"Урал Сев*",'Журнал регистрации КС'!I$6:I$40,"2 с эл. 3 КС")</f>
        <v>0</v>
      </c>
      <c r="I68" s="54">
        <f>_xlfn.SUMIFS('Журнал регистрации КС'!G$6:G$40,'Журнал регистрации КС'!K$6:K$40,"Урал Сев*",'Журнал регистрации КС'!I$6:I$40,"2")+_xlfn.SUMIFS('Журнал регистрации КС'!H$6:H$40,'Журнал регистрации КС'!K$6:K$40,"Урал Сев*",'Журнал регистрации КС'!I$6:I$40,"2 с эл. 3 КС")</f>
        <v>0</v>
      </c>
      <c r="J68" s="54">
        <f>_xlfn.SUMIFS('Журнал регистрации КС'!H$6:H$40,'Журнал регистрации КС'!K$6:K$40,"Урал Сев*",'Журнал регистрации КС'!I$6:I$40,"2")+_xlfn.SUMIFS('Журнал регистрации КС'!H$6:H$40,'Журнал регистрации КС'!K$6:K$40,"Урал Сев*",'Журнал регистрации КС'!I$6:I$40,"2 с эл. 3 КС")</f>
        <v>0</v>
      </c>
      <c r="K68" s="50">
        <f>_xlfn.COUNTIFS('Журнал регистрации КС'!K$6:K$40,"Урал Сев*",'Журнал регистрации КС'!I$6:I$40,"3")</f>
        <v>0</v>
      </c>
      <c r="L68" s="50">
        <f>_xlfn.SUMIFS('Журнал регистрации КС'!G$6:G$40,'Журнал регистрации КС'!K$6:K$40,"Урал Сев*",'Журнал регистрации КС'!I$6:I$40,"3")</f>
        <v>0</v>
      </c>
      <c r="M68" s="50">
        <f>_xlfn.SUMIFS('Журнал регистрации КС'!H$6:H$40,'Журнал регистрации КС'!K$6:K$40,"Урал Сев*",'Журнал регистрации КС'!I$6:I$40,"3")</f>
        <v>0</v>
      </c>
      <c r="N68" s="225">
        <f>_xlfn.COUNTIFS('Журнал регистрации КС'!K$6:K$40,"Урал Сев*",'Журнал регистрации КС'!I$6:I$40,"4")</f>
        <v>0</v>
      </c>
      <c r="O68" s="225">
        <f>_xlfn.SUMIFS('Журнал регистрации КС'!G$6:G$40,'Журнал регистрации КС'!K$6:K$40,"Урал Сев*",'Журнал регистрации КС'!I$6:I$40,"4")</f>
        <v>0</v>
      </c>
      <c r="P68" s="225">
        <f>_xlfn.SUMIFS('Журнал регистрации КС'!H$6:H$40,'Журнал регистрации КС'!K$6:K$40,"Урал Сев*",'Журнал регистрации КС'!I$6:I$40,"4")</f>
        <v>0</v>
      </c>
      <c r="Q68" s="46">
        <f t="shared" si="3"/>
        <v>0</v>
      </c>
      <c r="R68" s="112">
        <f t="shared" si="2"/>
        <v>0</v>
      </c>
    </row>
    <row r="69" spans="1:18" ht="13.5" customHeight="1">
      <c r="A69" s="49" t="s">
        <v>57</v>
      </c>
      <c r="B69" s="50">
        <f>COUNTIF('Журнал регистрации НК'!K$6:K$305,"Урал Сред*")</f>
        <v>0</v>
      </c>
      <c r="C69" s="50">
        <f>SUMIF('Журнал регистрации НК'!K$6:K$305,"Урал Сред*",'Журнал регистрации НК'!G$6:G$305)</f>
        <v>0</v>
      </c>
      <c r="D69" s="50">
        <f>SUMIF('Журнал регистрации НК'!K$6:K$305,"Урал Сред*",'Журнал регистрации НК'!H$6:H$305)</f>
        <v>0</v>
      </c>
      <c r="E69" s="50">
        <f>_xlfn.COUNTIFS('Журнал регистрации КС'!K$6:K$40,"Урал Сред*",'Журнал регистрации КС'!I$6:I$40,"1")+_xlfn.COUNTIFS('Журнал регистрации КС'!K$6:K$40,"Урал Сред*",'Журнал регистрации КС'!I$6:I$40,"1 с эл. 2 КС")</f>
        <v>0</v>
      </c>
      <c r="F69" s="54">
        <f>_xlfn.SUMIFS('Журнал регистрации КС'!G$6:G$40,'Журнал регистрации КС'!K$6:K$40,"Урал Сред*",'Журнал регистрации КС'!I$6:I$40,"1")+_xlfn.SUMIFS('Журнал регистрации КС'!G$6:G$40,'Журнал регистрации КС'!K$6:K$40,"Урал Сред*",'Журнал регистрации КС'!I$6:I$40,"1 с эл. 2 КС")</f>
        <v>0</v>
      </c>
      <c r="G69" s="54">
        <f>_xlfn.SUMIFS('Журнал регистрации КС'!H$6:H$40,'Журнал регистрации КС'!K$6:K$40,"Урал Сред*",'Журнал регистрации КС'!I$6:I$40,"1")+_xlfn.SUMIFS('Журнал регистрации КС'!H$6:H$40,'Журнал регистрации КС'!K$6:K$40,"Урал Сред*",'Журнал регистрации КС'!I$6:I$40,"1 с эл. 2 КС")</f>
        <v>0</v>
      </c>
      <c r="H69" s="50">
        <f>_xlfn.COUNTIFS('Журнал регистрации КС'!K$6:K$40,"Урал Сред*",'Журнал регистрации КС'!I$6:I$40,"2")+_xlfn.COUNTIFS('Журнал регистрации КС'!K$6:K$40,"Урал Сред*",'Журнал регистрации КС'!I$6:I$40,"2 с эл. 3 КС")</f>
        <v>0</v>
      </c>
      <c r="I69" s="54">
        <f>_xlfn.SUMIFS('Журнал регистрации КС'!G$6:G$40,'Журнал регистрации КС'!K$6:K$40,"Урал Сред*",'Журнал регистрации КС'!I$6:I$40,"2")+_xlfn.SUMIFS('Журнал регистрации КС'!H$6:H$40,'Журнал регистрации КС'!K$6:K$40,"Урал Сред*",'Журнал регистрации КС'!I$6:I$40,"2 с эл. 3 КС")</f>
        <v>0</v>
      </c>
      <c r="J69" s="54">
        <f>_xlfn.SUMIFS('Журнал регистрации КС'!H$6:H$40,'Журнал регистрации КС'!K$6:K$40,"Урал Сред*",'Журнал регистрации КС'!I$6:I$40,"2")+_xlfn.SUMIFS('Журнал регистрации КС'!H$6:H$40,'Журнал регистрации КС'!K$6:K$40,"Урал Сред*",'Журнал регистрации КС'!I$6:I$40,"2 с эл. 3 КС")</f>
        <v>0</v>
      </c>
      <c r="K69" s="50">
        <f>_xlfn.COUNTIFS('Журнал регистрации КС'!K$6:K$40,"Урал Сред*",'Журнал регистрации КС'!I$6:I$40,"3")</f>
        <v>0</v>
      </c>
      <c r="L69" s="50">
        <f>_xlfn.SUMIFS('Журнал регистрации КС'!G$6:G$40,'Журнал регистрации КС'!K$6:K$40,"Урал Сред*",'Журнал регистрации КС'!I$6:I$40,"3")</f>
        <v>0</v>
      </c>
      <c r="M69" s="50">
        <f>_xlfn.SUMIFS('Журнал регистрации КС'!H$6:H$40,'Журнал регистрации КС'!K$6:K$40,"Урал Сред*",'Журнал регистрации КС'!I$6:I$40,"3")</f>
        <v>0</v>
      </c>
      <c r="N69" s="225">
        <f>_xlfn.COUNTIFS('Журнал регистрации КС'!K$6:K$40,"Урал Сред*",'Журнал регистрации КС'!I$6:I$40,"4")</f>
        <v>0</v>
      </c>
      <c r="O69" s="225">
        <f>_xlfn.SUMIFS('Журнал регистрации КС'!G$6:G$40,'Журнал регистрации КС'!K$6:K$40,"Урал Сред*",'Журнал регистрации КС'!I$6:I$40,"4")</f>
        <v>0</v>
      </c>
      <c r="P69" s="225">
        <f>_xlfn.SUMIFS('Журнал регистрации КС'!H$6:H$40,'Журнал регистрации КС'!K$6:K$40,"Урал Сред*",'Журнал регистрации КС'!I$6:I$40,"4")</f>
        <v>0</v>
      </c>
      <c r="Q69" s="46">
        <f t="shared" si="3"/>
        <v>0</v>
      </c>
      <c r="R69" s="112">
        <f t="shared" si="2"/>
        <v>0</v>
      </c>
    </row>
    <row r="70" spans="1:18" ht="13.5" customHeight="1">
      <c r="A70" s="49" t="s">
        <v>47</v>
      </c>
      <c r="B70" s="50">
        <f>COUNTIF('Журнал регистрации НК'!K$6:K$305,"Урал Юж*")</f>
        <v>0</v>
      </c>
      <c r="C70" s="50">
        <f>SUMIF('Журнал регистрации НК'!K$6:K$305,"Урал Юж*",'Журнал регистрации НК'!G$6:G$305)</f>
        <v>0</v>
      </c>
      <c r="D70" s="50">
        <f>SUMIF('Журнал регистрации НК'!K$6:K$305,"Урал Юж*",'Журнал регистрации НК'!H$6:H$305)</f>
        <v>0</v>
      </c>
      <c r="E70" s="50">
        <f>_xlfn.COUNTIFS('Журнал регистрации КС'!K$6:K$40,"Урал Юж*",'Журнал регистрации КС'!I$6:I$40,"1")+_xlfn.COUNTIFS('Журнал регистрации КС'!K$6:K$40,"Урал Юж*",'Журнал регистрации КС'!I$6:I$40,"1 с эл. 2 КС")</f>
        <v>0</v>
      </c>
      <c r="F70" s="54">
        <f>_xlfn.SUMIFS('Журнал регистрации КС'!G$6:G$40,'Журнал регистрации КС'!K$6:K$40,"Урал Юж*",'Журнал регистрации КС'!I$6:I$40,"1")+_xlfn.SUMIFS('Журнал регистрации КС'!G$6:G$40,'Журнал регистрации КС'!K$6:K$40,"Урал Юж*",'Журнал регистрации КС'!I$6:I$40,"1 с эл. 2 КС")</f>
        <v>0</v>
      </c>
      <c r="G70" s="54">
        <f>_xlfn.SUMIFS('Журнал регистрации КС'!H$6:H$40,'Журнал регистрации КС'!K$6:K$40,"Урал Юж*",'Журнал регистрации КС'!I$6:I$40,"1")+_xlfn.SUMIFS('Журнал регистрации КС'!H$6:H$40,'Журнал регистрации КС'!K$6:K$40,"Урал Юж*",'Журнал регистрации КС'!I$6:I$40,"1 с эл. 2 КС")</f>
        <v>0</v>
      </c>
      <c r="H70" s="50">
        <f>_xlfn.COUNTIFS('Журнал регистрации КС'!K$6:K$40,"Урал Юж*",'Журнал регистрации КС'!I$6:I$40,"2")+_xlfn.COUNTIFS('Журнал регистрации КС'!K$6:K$40,"Урал Юж*",'Журнал регистрации КС'!I$6:I$40,"2 с эл. 3 КС")</f>
        <v>0</v>
      </c>
      <c r="I70" s="54">
        <f>_xlfn.SUMIFS('Журнал регистрации КС'!G$6:G$40,'Журнал регистрации КС'!K$6:K$40,"Урал Юж*",'Журнал регистрации КС'!I$6:I$40,"2")+_xlfn.SUMIFS('Журнал регистрации КС'!H$6:H$40,'Журнал регистрации КС'!K$6:K$40,"Урал Юж*",'Журнал регистрации КС'!I$6:I$40,"2 с эл. 3 КС")</f>
        <v>0</v>
      </c>
      <c r="J70" s="54">
        <f>_xlfn.SUMIFS('Журнал регистрации КС'!H$6:H$40,'Журнал регистрации КС'!K$6:K$40,"Урал Юж*",'Журнал регистрации КС'!I$6:I$40,"2")+_xlfn.SUMIFS('Журнал регистрации КС'!H$6:H$40,'Журнал регистрации КС'!K$6:K$40,"Урал Юж*",'Журнал регистрации КС'!I$6:I$40,"2 с эл. 3 КС")</f>
        <v>0</v>
      </c>
      <c r="K70" s="50">
        <f>_xlfn.COUNTIFS('Журнал регистрации КС'!K$6:K$40,"Урал Юж*",'Журнал регистрации КС'!I$6:I$40,"3")</f>
        <v>0</v>
      </c>
      <c r="L70" s="50">
        <f>_xlfn.SUMIFS('Журнал регистрации КС'!G$6:G$40,'Журнал регистрации КС'!K$6:K$40,"Урал Юж*",'Журнал регистрации КС'!I$6:I$40,"3")</f>
        <v>0</v>
      </c>
      <c r="M70" s="50">
        <f>_xlfn.SUMIFS('Журнал регистрации КС'!H$6:H$40,'Журнал регистрации КС'!K$6:K$40,"Урал Юж*",'Журнал регистрации КС'!I$6:I$40,"3")</f>
        <v>0</v>
      </c>
      <c r="N70" s="225">
        <f>_xlfn.COUNTIFS('Журнал регистрации КС'!K$6:K$40,"Урал Юж*",'Журнал регистрации КС'!I$6:I$40,"4")</f>
        <v>0</v>
      </c>
      <c r="O70" s="225">
        <f>_xlfn.SUMIFS('Журнал регистрации КС'!G$6:G$40,'Журнал регистрации КС'!K$6:K$40,"Урал Юж*",'Журнал регистрации КС'!I$6:I$40,"4")</f>
        <v>0</v>
      </c>
      <c r="P70" s="225">
        <f>_xlfn.SUMIFS('Журнал регистрации КС'!H$6:H$40,'Журнал регистрации КС'!K$6:K$40,"Урал Юж*",'Журнал регистрации КС'!I$6:I$40,"4")</f>
        <v>0</v>
      </c>
      <c r="Q70" s="46">
        <f t="shared" si="3"/>
        <v>0</v>
      </c>
      <c r="R70" s="112">
        <f t="shared" si="2"/>
        <v>0</v>
      </c>
    </row>
    <row r="71" spans="1:18" ht="13.5" customHeight="1">
      <c r="A71" s="49" t="s">
        <v>70</v>
      </c>
      <c r="B71" s="50">
        <f>COUNTIF('Журнал регистрации НК'!K$6:K$305,"Центральная Я*")</f>
        <v>0</v>
      </c>
      <c r="C71" s="50">
        <f>SUMIF('Журнал регистрации НК'!K$6:K$305,"Центральная Я*",'Журнал регистрации НК'!G$6:G$305)</f>
        <v>0</v>
      </c>
      <c r="D71" s="50">
        <f>SUMIF('Журнал регистрации НК'!K$6:K$305,"Центральная Я*",'Журнал регистрации НК'!H$6:H$305)</f>
        <v>0</v>
      </c>
      <c r="E71" s="50">
        <f>_xlfn.COUNTIFS('Журнал регистрации КС'!K$6:K$40,"Центральная Я*",'Журнал регистрации КС'!I$6:I$40,"1")+_xlfn.COUNTIFS('Журнал регистрации КС'!K$6:K$40,"Центральная Я*",'Журнал регистрации КС'!I$6:I$40,"1 с эл. 2 КС")</f>
        <v>0</v>
      </c>
      <c r="F71" s="54">
        <f>_xlfn.SUMIFS('Журнал регистрации КС'!G$6:G$40,'Журнал регистрации КС'!K$6:K$40,"Центральная Я*",'Журнал регистрации КС'!I$6:I$40,"1")+_xlfn.SUMIFS('Журнал регистрации КС'!G$6:G$40,'Журнал регистрации КС'!K$6:K$40,"Центральная Я*",'Журнал регистрации КС'!I$6:I$40,"1 с эл. 2 КС")</f>
        <v>0</v>
      </c>
      <c r="G71" s="54">
        <f>_xlfn.SUMIFS('Журнал регистрации КС'!H$6:H$40,'Журнал регистрации КС'!K$6:K$40,"Центральная Я*",'Журнал регистрации КС'!I$6:I$40,"1")+_xlfn.SUMIFS('Журнал регистрации КС'!H$6:H$40,'Журнал регистрации КС'!K$6:K$40,"Центральная Я*",'Журнал регистрации КС'!I$6:I$40,"1 с эл. 2 КС")</f>
        <v>0</v>
      </c>
      <c r="H71" s="50">
        <f>_xlfn.COUNTIFS('Журнал регистрации КС'!K$6:K$40,"Центральная Я*",'Журнал регистрации КС'!I$6:I$40,"2")+_xlfn.COUNTIFS('Журнал регистрации КС'!K$6:K$40,"Центральная Я*",'Журнал регистрации КС'!I$6:I$40,"2 с эл. 3 КС")</f>
        <v>0</v>
      </c>
      <c r="I71" s="54">
        <f>_xlfn.SUMIFS('Журнал регистрации КС'!G$6:G$40,'Журнал регистрации КС'!K$6:K$40,"Центральная Я*",'Журнал регистрации КС'!I$6:I$40,"2")+_xlfn.SUMIFS('Журнал регистрации КС'!H$6:H$40,'Журнал регистрации КС'!K$6:K$40,"Центральная Я*",'Журнал регистрации КС'!I$6:I$40,"2 с эл. 3 КС")</f>
        <v>0</v>
      </c>
      <c r="J71" s="54">
        <f>_xlfn.SUMIFS('Журнал регистрации КС'!H$6:H$40,'Журнал регистрации КС'!K$6:K$40,"Центральная Я*",'Журнал регистрации КС'!I$6:I$40,"2")+_xlfn.SUMIFS('Журнал регистрации КС'!H$6:H$40,'Журнал регистрации КС'!K$6:K$40,"Центральная Я*",'Журнал регистрации КС'!I$6:I$40,"2 с эл. 3 КС")</f>
        <v>0</v>
      </c>
      <c r="K71" s="50">
        <f>_xlfn.COUNTIFS('Журнал регистрации КС'!K$6:K$40,"Центральная Я*",'Журнал регистрации КС'!I$6:I$40,"3")</f>
        <v>0</v>
      </c>
      <c r="L71" s="50">
        <f>_xlfn.SUMIFS('Журнал регистрации КС'!G$6:G$40,'Журнал регистрации КС'!K$6:K$40,"Центральная Я*",'Журнал регистрации КС'!I$6:I$40,"3")</f>
        <v>0</v>
      </c>
      <c r="M71" s="50">
        <f>_xlfn.SUMIFS('Журнал регистрации КС'!H$6:H$40,'Журнал регистрации КС'!K$6:K$40,"Центральная Я*",'Журнал регистрации КС'!I$6:I$40,"3")</f>
        <v>0</v>
      </c>
      <c r="N71" s="225">
        <f>_xlfn.COUNTIFS('Журнал регистрации КС'!K$6:K$40,"Центральная Я*",'Журнал регистрации КС'!I$6:I$40,"4")</f>
        <v>0</v>
      </c>
      <c r="O71" s="225">
        <f>_xlfn.SUMIFS('Журнал регистрации КС'!G$6:G$40,'Журнал регистрации КС'!K$6:K$40,"Центральная Я*",'Журнал регистрации КС'!I$6:I$40,"4")</f>
        <v>0</v>
      </c>
      <c r="P71" s="225">
        <f>_xlfn.SUMIFS('Журнал регистрации КС'!H$6:H$40,'Журнал регистрации КС'!K$6:K$40,"Центральная Я*",'Журнал регистрации КС'!I$6:I$40,"4")</f>
        <v>0</v>
      </c>
      <c r="Q71" s="46">
        <f t="shared" si="3"/>
        <v>0</v>
      </c>
      <c r="R71" s="112">
        <f t="shared" si="2"/>
        <v>0</v>
      </c>
    </row>
    <row r="72" ht="13.5" customHeight="1">
      <c r="A72" s="181"/>
    </row>
    <row r="73" ht="13.5" customHeight="1">
      <c r="A73" s="181"/>
    </row>
    <row r="74" spans="1:16" ht="13.5" customHeight="1">
      <c r="A74" s="332" t="s">
        <v>180</v>
      </c>
      <c r="B74" s="333" t="s">
        <v>101</v>
      </c>
      <c r="C74" s="333"/>
      <c r="D74" s="333"/>
      <c r="E74" s="333"/>
      <c r="F74" s="333"/>
      <c r="G74" s="333"/>
      <c r="H74" s="331" t="s">
        <v>91</v>
      </c>
      <c r="I74" s="331" t="s">
        <v>190</v>
      </c>
      <c r="J74" s="331" t="s">
        <v>188</v>
      </c>
      <c r="K74" s="331" t="s">
        <v>189</v>
      </c>
      <c r="L74" s="182"/>
      <c r="M74" s="182"/>
      <c r="N74" s="182"/>
      <c r="O74" s="182"/>
      <c r="P74" s="182"/>
    </row>
    <row r="75" spans="1:16" ht="43.5" customHeight="1">
      <c r="A75" s="332"/>
      <c r="B75" s="47" t="s">
        <v>93</v>
      </c>
      <c r="C75" s="47" t="s">
        <v>135</v>
      </c>
      <c r="D75" s="47" t="s">
        <v>94</v>
      </c>
      <c r="E75" s="47" t="s">
        <v>187</v>
      </c>
      <c r="F75" s="47" t="s">
        <v>135</v>
      </c>
      <c r="G75" s="47" t="s">
        <v>94</v>
      </c>
      <c r="H75" s="331"/>
      <c r="I75" s="331"/>
      <c r="J75" s="331"/>
      <c r="K75" s="331"/>
      <c r="L75" s="183"/>
      <c r="M75" s="183"/>
      <c r="N75" s="183"/>
      <c r="O75" s="183"/>
      <c r="P75" s="183"/>
    </row>
    <row r="76" spans="1:11" ht="12.75">
      <c r="A76" s="185" t="s">
        <v>141</v>
      </c>
      <c r="B76" s="187">
        <f>COUNTIF('Журнал регистрации НК'!E$6:E$305,"Анжеро-Судженский г.о.")</f>
        <v>0</v>
      </c>
      <c r="C76" s="187">
        <f>SUMIF('Журнал регистрации НК'!E$6:E$305,"Анжеро-Судженский г.о.",'Журнал регистрации НК'!G$6:G$305)</f>
        <v>0</v>
      </c>
      <c r="D76" s="187">
        <f>SUMIF('Журнал регистрации НК'!E$6:E$305,"Анжеро-Судженский г.о.",'Журнал регистрации НК'!H$6:H$305)</f>
        <v>0</v>
      </c>
      <c r="E76" s="223">
        <f>_xlfn.COUNTIFS('Журнал регистрации КС'!E$6:E$40,"Анжеро-Судженский г.о.")</f>
        <v>0</v>
      </c>
      <c r="F76" s="224">
        <f>_xlfn.SUMIFS('Журнал регистрации КС'!G$6:G$40,'Журнал регистрации КС'!E$6:E$40,"Анжеро-Судженский г.о.")</f>
        <v>0</v>
      </c>
      <c r="G76" s="223">
        <f>_xlfn.SUMIFS('Журнал регистрации КС'!H$6:H$40,'Журнал регистрации КС'!E$6:E$40,"Анжеро-Судженский г.о.")</f>
        <v>0</v>
      </c>
      <c r="H76" s="184">
        <f>B76+E76</f>
        <v>0</v>
      </c>
      <c r="I76" s="184">
        <f>D76+G76</f>
        <v>0</v>
      </c>
      <c r="J76" s="186">
        <f>C76+F76</f>
        <v>0</v>
      </c>
      <c r="K76" s="186">
        <f>I76+J76</f>
        <v>0</v>
      </c>
    </row>
    <row r="77" spans="1:11" ht="12.75">
      <c r="A77" s="185" t="s">
        <v>142</v>
      </c>
      <c r="B77" s="187">
        <f>COUNTIF('Журнал регистрации НК'!E$6:E$305,"Беловский г.о.")</f>
        <v>0</v>
      </c>
      <c r="C77" s="187">
        <f>SUMIF('Журнал регистрации НК'!E$6:E$305,"Беловский г.о.",'Журнал регистрации НК'!G$6:G$305)</f>
        <v>0</v>
      </c>
      <c r="D77" s="187">
        <f>SUMIF('Журнал регистрации НК'!E$6:E$305,"Беловский г.о.",'Журнал регистрации НК'!H$6:H$305)</f>
        <v>0</v>
      </c>
      <c r="E77" s="223">
        <f>_xlfn.COUNTIFS('Журнал регистрации КС'!E$6:E$40,"Беловский г.о.")</f>
        <v>0</v>
      </c>
      <c r="F77" s="224">
        <f>_xlfn.SUMIFS('Журнал регистрации КС'!G$6:G$40,'Журнал регистрации КС'!E$6:E$40,"Беловский г.о.")</f>
        <v>0</v>
      </c>
      <c r="G77" s="223">
        <f>_xlfn.SUMIFS('Журнал регистрации КС'!H$6:H$40,'Журнал регистрации КС'!E$6:E$40,"Беловский г.о.")</f>
        <v>0</v>
      </c>
      <c r="H77" s="184">
        <f aca="true" t="shared" si="4" ref="H77:H108">B77+E77</f>
        <v>0</v>
      </c>
      <c r="I77" s="184">
        <f aca="true" t="shared" si="5" ref="I77:I108">D77+G77</f>
        <v>0</v>
      </c>
      <c r="J77" s="186">
        <f aca="true" t="shared" si="6" ref="J77:J108">C77+F77</f>
        <v>0</v>
      </c>
      <c r="K77" s="186">
        <f aca="true" t="shared" si="7" ref="K77:K108">I77+J77</f>
        <v>0</v>
      </c>
    </row>
    <row r="78" spans="1:11" ht="12.75">
      <c r="A78" s="185" t="s">
        <v>181</v>
      </c>
      <c r="B78" s="187">
        <f>COUNTIF('Журнал регистрации НК'!E$6:E$305,"Беловский м.о.")</f>
        <v>0</v>
      </c>
      <c r="C78" s="187">
        <f>SUMIF('Журнал регистрации НК'!E$6:E$305,"Беловский м.о.",'Журнал регистрации НК'!G$6:G$305)</f>
        <v>0</v>
      </c>
      <c r="D78" s="187">
        <f>SUMIF('Журнал регистрации НК'!E$6:E$305,"Беловский м.о.",'Журнал регистрации НК'!H$6:H$305)</f>
        <v>0</v>
      </c>
      <c r="E78" s="223">
        <f>_xlfn.COUNTIFS('Журнал регистрации КС'!E$6:E$40,"Беловский м.о.")</f>
        <v>0</v>
      </c>
      <c r="F78" s="224">
        <f>_xlfn.SUMIFS('Журнал регистрации КС'!G$6:G$40,'Журнал регистрации КС'!E$6:E$40,"Беловский м.о.")</f>
        <v>0</v>
      </c>
      <c r="G78" s="223">
        <f>_xlfn.SUMIFS('Журнал регистрации КС'!H$6:H$40,'Журнал регистрации КС'!E$6:E$40,"Беловский м.о.")</f>
        <v>0</v>
      </c>
      <c r="H78" s="184">
        <f t="shared" si="4"/>
        <v>0</v>
      </c>
      <c r="I78" s="184">
        <f t="shared" si="5"/>
        <v>0</v>
      </c>
      <c r="J78" s="186">
        <f t="shared" si="6"/>
        <v>0</v>
      </c>
      <c r="K78" s="186">
        <f t="shared" si="7"/>
        <v>0</v>
      </c>
    </row>
    <row r="79" spans="1:11" ht="12.75">
      <c r="A79" s="185" t="s">
        <v>143</v>
      </c>
      <c r="B79" s="187">
        <f>COUNTIF('Журнал регистрации НК'!E$6:E$305,"Берёзовский г.о.")</f>
        <v>0</v>
      </c>
      <c r="C79" s="187">
        <f>SUMIF('Журнал регистрации НК'!E$6:E$305,"Берёзовский г.о.",'Журнал регистрации НК'!G$6:G$305)</f>
        <v>0</v>
      </c>
      <c r="D79" s="187">
        <f>SUMIF('Журнал регистрации НК'!E$6:E$305,"Берёзовский г.о.",'Журнал регистрации НК'!H$6:H$305)</f>
        <v>0</v>
      </c>
      <c r="E79" s="223">
        <f>_xlfn.COUNTIFS('Журнал регистрации КС'!E$6:E$40,"Берёзовский г.о.")</f>
        <v>0</v>
      </c>
      <c r="F79" s="224">
        <f>_xlfn.SUMIFS('Журнал регистрации КС'!G$6:G$40,'Журнал регистрации КС'!E$6:E$40,"Берёзовский г.о.")</f>
        <v>0</v>
      </c>
      <c r="G79" s="223">
        <f>_xlfn.SUMIFS('Журнал регистрации КС'!H$6:H$40,'Журнал регистрации КС'!E$6:E$40,"Берёзовский г.о.")</f>
        <v>0</v>
      </c>
      <c r="H79" s="184">
        <f t="shared" si="4"/>
        <v>0</v>
      </c>
      <c r="I79" s="184">
        <f t="shared" si="5"/>
        <v>0</v>
      </c>
      <c r="J79" s="186">
        <f t="shared" si="6"/>
        <v>0</v>
      </c>
      <c r="K79" s="186">
        <f t="shared" si="7"/>
        <v>0</v>
      </c>
    </row>
    <row r="80" spans="1:11" ht="12.75">
      <c r="A80" s="185" t="s">
        <v>156</v>
      </c>
      <c r="B80" s="187">
        <f>COUNTIF('Журнал регистрации НК'!E$6:E$305,"Гурьевский м.о.")</f>
        <v>0</v>
      </c>
      <c r="C80" s="187">
        <f>SUMIF('Журнал регистрации НК'!E$6:E$305,"Гурьевский м.о.",'Журнал регистрации НК'!G$6:G$305)</f>
        <v>0</v>
      </c>
      <c r="D80" s="187">
        <f>SUMIF('Журнал регистрации НК'!E$6:E$305,"Гурьевский м.о.",'Журнал регистрации НК'!H$6:H$305)</f>
        <v>0</v>
      </c>
      <c r="E80" s="223">
        <f>_xlfn.COUNTIFS('Журнал регистрации КС'!E$6:E$40,"Гурьевский м.о.")</f>
        <v>0</v>
      </c>
      <c r="F80" s="224">
        <f>_xlfn.SUMIFS('Журнал регистрации КС'!G$6:G$40,'Журнал регистрации КС'!E$6:E$40,"Гурьевский м.о.")</f>
        <v>0</v>
      </c>
      <c r="G80" s="223">
        <f>_xlfn.SUMIFS('Журнал регистрации КС'!H$6:H$40,'Журнал регистрации КС'!E$6:E$40,"Гурьевский м.о.")</f>
        <v>0</v>
      </c>
      <c r="H80" s="184">
        <f t="shared" si="4"/>
        <v>0</v>
      </c>
      <c r="I80" s="184">
        <f t="shared" si="5"/>
        <v>0</v>
      </c>
      <c r="J80" s="186">
        <f t="shared" si="6"/>
        <v>0</v>
      </c>
      <c r="K80" s="186">
        <f t="shared" si="7"/>
        <v>0</v>
      </c>
    </row>
    <row r="81" spans="1:11" ht="12.75">
      <c r="A81" s="185" t="s">
        <v>157</v>
      </c>
      <c r="B81" s="187">
        <f>COUNTIF('Журнал регистрации НК'!E$6:E$305,"Ижморский м.о.")</f>
        <v>0</v>
      </c>
      <c r="C81" s="187">
        <f>SUMIF('Журнал регистрации НК'!E$6:E$305,"Ижморский м.о.",'Журнал регистрации НК'!G$6:G$305)</f>
        <v>0</v>
      </c>
      <c r="D81" s="187">
        <f>SUMIF('Журнал регистрации НК'!E$6:E$305,"Ижморский м.о.",'Журнал регистрации НК'!H$6:H$305)</f>
        <v>0</v>
      </c>
      <c r="E81" s="223">
        <f>_xlfn.COUNTIFS('Журнал регистрации КС'!E$6:E$40,"Ижморский м.о.")</f>
        <v>0</v>
      </c>
      <c r="F81" s="224">
        <f>_xlfn.SUMIFS('Журнал регистрации КС'!G$6:G$40,'Журнал регистрации КС'!E$6:E$40,"Ижморский м.о.")</f>
        <v>0</v>
      </c>
      <c r="G81" s="223">
        <f>_xlfn.SUMIFS('Журнал регистрации КС'!H$6:H$40,'Журнал регистрации КС'!E$6:E$40,"Ижморский м.о.")</f>
        <v>0</v>
      </c>
      <c r="H81" s="184">
        <f t="shared" si="4"/>
        <v>0</v>
      </c>
      <c r="I81" s="184">
        <f t="shared" si="5"/>
        <v>0</v>
      </c>
      <c r="J81" s="186">
        <f t="shared" si="6"/>
        <v>0</v>
      </c>
      <c r="K81" s="186">
        <f t="shared" si="7"/>
        <v>0</v>
      </c>
    </row>
    <row r="82" spans="1:11" ht="12.75">
      <c r="A82" s="185" t="s">
        <v>145</v>
      </c>
      <c r="B82" s="187">
        <f>COUNTIF('Журнал регистрации НК'!E$6:E$305,"Калтанский г.о.")</f>
        <v>0</v>
      </c>
      <c r="C82" s="187">
        <f>SUMIF('Журнал регистрации НК'!E$6:E$305,"Калтанский г.о.",'Журнал регистрации НК'!G$6:G$305)</f>
        <v>0</v>
      </c>
      <c r="D82" s="187">
        <f>SUMIF('Журнал регистрации НК'!E$6:E$305,"Калтанский г.о.",'Журнал регистрации НК'!H$6:H$305)</f>
        <v>0</v>
      </c>
      <c r="E82" s="223">
        <f>_xlfn.COUNTIFS('Журнал регистрации КС'!E$6:E$40,"Калтанский г.о.")</f>
        <v>0</v>
      </c>
      <c r="F82" s="224">
        <f>_xlfn.SUMIFS('Журнал регистрации КС'!G$6:G$40,'Журнал регистрации КС'!E$6:E$40,"Калтанский г.о.")</f>
        <v>0</v>
      </c>
      <c r="G82" s="223">
        <f>_xlfn.SUMIFS('Журнал регистрации КС'!H$6:H$40,'Журнал регистрации КС'!E$6:E$40,"Калтанский г.о.")</f>
        <v>0</v>
      </c>
      <c r="H82" s="184">
        <f t="shared" si="4"/>
        <v>0</v>
      </c>
      <c r="I82" s="184">
        <f t="shared" si="5"/>
        <v>0</v>
      </c>
      <c r="J82" s="186">
        <f t="shared" si="6"/>
        <v>0</v>
      </c>
      <c r="K82" s="186">
        <f t="shared" si="7"/>
        <v>0</v>
      </c>
    </row>
    <row r="83" spans="1:11" ht="12.75">
      <c r="A83" s="185" t="s">
        <v>184</v>
      </c>
      <c r="B83" s="187">
        <f>COUNTIF('Журнал регистрации НК'!E$6:E$305,"г.Кемерово")</f>
        <v>0</v>
      </c>
      <c r="C83" s="187">
        <f>SUMIF('Журнал регистрации НК'!E$6:E$305,"г.Кемерово",'Журнал регистрации НК'!G$6:G$305)</f>
        <v>0</v>
      </c>
      <c r="D83" s="187">
        <f>SUMIF('Журнал регистрации НК'!E$6:E$305,"г.Кемерово",'Журнал регистрации НК'!H$6:H$305)</f>
        <v>0</v>
      </c>
      <c r="E83" s="223">
        <f>_xlfn.COUNTIFS('Журнал регистрации КС'!E$6:E$40,"г.Кемерово")</f>
        <v>0</v>
      </c>
      <c r="F83" s="224">
        <f>_xlfn.SUMIFS('Журнал регистрации КС'!G$6:G$40,'Журнал регистрации КС'!E$6:E$40,"г.Кемерово")</f>
        <v>0</v>
      </c>
      <c r="G83" s="223">
        <f>_xlfn.SUMIFS('Журнал регистрации КС'!H$6:H$40,'Журнал регистрации КС'!E$6:E$40,"г.Кемерово")</f>
        <v>0</v>
      </c>
      <c r="H83" s="184">
        <f t="shared" si="4"/>
        <v>0</v>
      </c>
      <c r="I83" s="184">
        <f t="shared" si="5"/>
        <v>0</v>
      </c>
      <c r="J83" s="186">
        <f t="shared" si="6"/>
        <v>0</v>
      </c>
      <c r="K83" s="186">
        <f t="shared" si="7"/>
        <v>0</v>
      </c>
    </row>
    <row r="84" spans="1:11" ht="12.75">
      <c r="A84" s="185" t="s">
        <v>158</v>
      </c>
      <c r="B84" s="187">
        <f>COUNTIF('Журнал регистрации НК'!E$6:E$305,"Кемеровский м.о.")</f>
        <v>0</v>
      </c>
      <c r="C84" s="187">
        <f>SUMIF('Журнал регистрации НК'!E$6:E$305,"Кемеровский м.о.",'Журнал регистрации НК'!G$6:G$305)</f>
        <v>0</v>
      </c>
      <c r="D84" s="187">
        <f>SUMIF('Журнал регистрации НК'!E$6:E$305,"Кемеровский м.о.",'Журнал регистрации НК'!H$6:H$305)</f>
        <v>0</v>
      </c>
      <c r="E84" s="223">
        <f>_xlfn.COUNTIFS('Журнал регистрации КС'!E$6:E$40,"Кемеровский м.о.")</f>
        <v>0</v>
      </c>
      <c r="F84" s="224">
        <f>_xlfn.SUMIFS('Журнал регистрации КС'!G$6:G$40,'Журнал регистрации КС'!E$6:E$40,"Кемеровский м.о.")</f>
        <v>0</v>
      </c>
      <c r="G84" s="223">
        <f>_xlfn.SUMIFS('Журнал регистрации КС'!H$6:H$40,'Журнал регистрации КС'!E$6:E$40,"Кемеровский м.о.")</f>
        <v>0</v>
      </c>
      <c r="H84" s="184">
        <f t="shared" si="4"/>
        <v>0</v>
      </c>
      <c r="I84" s="184">
        <f t="shared" si="5"/>
        <v>0</v>
      </c>
      <c r="J84" s="186">
        <f t="shared" si="6"/>
        <v>0</v>
      </c>
      <c r="K84" s="186">
        <f t="shared" si="7"/>
        <v>0</v>
      </c>
    </row>
    <row r="85" spans="1:11" ht="12.75">
      <c r="A85" s="185" t="s">
        <v>146</v>
      </c>
      <c r="B85" s="187">
        <f>COUNTIF('Журнал регистрации НК'!E$6:E$305,"Киселёвский г.о.")</f>
        <v>0</v>
      </c>
      <c r="C85" s="187">
        <f>SUMIF('Журнал регистрации НК'!E$6:E$305,"Киселёвский г.о.",'Журнал регистрации НК'!G$6:G$305)</f>
        <v>0</v>
      </c>
      <c r="D85" s="187">
        <f>SUMIF('Журнал регистрации НК'!E$6:E$305,"Киселёвский г.о.",'Журнал регистрации НК'!H$6:H$305)</f>
        <v>0</v>
      </c>
      <c r="E85" s="223">
        <f>_xlfn.COUNTIFS('Журнал регистрации КС'!E$6:E$40,"Киселёвский г.о.")</f>
        <v>0</v>
      </c>
      <c r="F85" s="224">
        <f>_xlfn.SUMIFS('Журнал регистрации КС'!G$6:G$40,'Журнал регистрации КС'!E$6:E$40,"Киселёвский г.о.")</f>
        <v>0</v>
      </c>
      <c r="G85" s="223">
        <f>_xlfn.SUMIFS('Журнал регистрации КС'!H$6:H$40,'Журнал регистрации КС'!E$6:E$40,"Киселёвский г.о.")</f>
        <v>0</v>
      </c>
      <c r="H85" s="184">
        <f t="shared" si="4"/>
        <v>0</v>
      </c>
      <c r="I85" s="184">
        <f t="shared" si="5"/>
        <v>0</v>
      </c>
      <c r="J85" s="186">
        <f t="shared" si="6"/>
        <v>0</v>
      </c>
      <c r="K85" s="186">
        <f t="shared" si="7"/>
        <v>0</v>
      </c>
    </row>
    <row r="86" spans="1:11" ht="12.75">
      <c r="A86" s="185" t="s">
        <v>159</v>
      </c>
      <c r="B86" s="187">
        <f>COUNTIF('Журнал регистрации НК'!E$6:E$305,"Крапивинский м.о.")</f>
        <v>0</v>
      </c>
      <c r="C86" s="187">
        <f>SUMIF('Журнал регистрации НК'!E$6:E$305,"Крапивинский м.о.",'Журнал регистрации НК'!G$6:G$305)</f>
        <v>0</v>
      </c>
      <c r="D86" s="187">
        <f>SUMIF('Журнал регистрации НК'!E$6:E$305,"Крапивинский м.о.",'Журнал регистрации НК'!H$6:H$305)</f>
        <v>0</v>
      </c>
      <c r="E86" s="223">
        <f>_xlfn.COUNTIFS('Журнал регистрации КС'!E$6:E$40,"Крапивинский м.о.")</f>
        <v>0</v>
      </c>
      <c r="F86" s="224">
        <f>_xlfn.SUMIFS('Журнал регистрации КС'!G$6:G$40,'Журнал регистрации КС'!E$6:E$40,"Крапивинский м.о.")</f>
        <v>0</v>
      </c>
      <c r="G86" s="223">
        <f>_xlfn.SUMIFS('Журнал регистрации КС'!H$6:H$40,'Журнал регистрации КС'!E$6:E$40,"Крапивинский м.о.")</f>
        <v>0</v>
      </c>
      <c r="H86" s="184">
        <f t="shared" si="4"/>
        <v>0</v>
      </c>
      <c r="I86" s="184">
        <f t="shared" si="5"/>
        <v>0</v>
      </c>
      <c r="J86" s="186">
        <f t="shared" si="6"/>
        <v>0</v>
      </c>
      <c r="K86" s="186">
        <f t="shared" si="7"/>
        <v>0</v>
      </c>
    </row>
    <row r="87" spans="1:11" ht="12.75">
      <c r="A87" s="185" t="s">
        <v>147</v>
      </c>
      <c r="B87" s="187">
        <f>COUNTIF('Журнал регистрации НК'!E$6:E$305,"Ленинск-Кузнецкий г.о.")</f>
        <v>0</v>
      </c>
      <c r="C87" s="187">
        <f>SUMIF('Журнал регистрации НК'!E$6:E$305,"Ленинск-Кузнецкий г.о.",'Журнал регистрации НК'!G$6:G$305)</f>
        <v>0</v>
      </c>
      <c r="D87" s="187">
        <f>SUMIF('Журнал регистрации НК'!E$6:E$305,"Ленинск-Кузнецкий г.о.",'Журнал регистрации НК'!H$6:H$305)</f>
        <v>0</v>
      </c>
      <c r="E87" s="223">
        <f>_xlfn.COUNTIFS('Журнал регистрации КС'!E$6:E$40,"Ленинск-Кузнецкий г.о.")</f>
        <v>0</v>
      </c>
      <c r="F87" s="224">
        <f>_xlfn.SUMIFS('Журнал регистрации КС'!G$6:G$40,'Журнал регистрации КС'!E$6:E$40,"Ленинск-Кузнецкий г.о.")</f>
        <v>0</v>
      </c>
      <c r="G87" s="223">
        <f>_xlfn.SUMIFS('Журнал регистрации КС'!H$6:H$40,'Журнал регистрации КС'!E$6:E$40,"Ленинск-Кузнецкий г.о.")</f>
        <v>0</v>
      </c>
      <c r="H87" s="184">
        <f t="shared" si="4"/>
        <v>0</v>
      </c>
      <c r="I87" s="184">
        <f t="shared" si="5"/>
        <v>0</v>
      </c>
      <c r="J87" s="186">
        <f t="shared" si="6"/>
        <v>0</v>
      </c>
      <c r="K87" s="186">
        <f t="shared" si="7"/>
        <v>0</v>
      </c>
    </row>
    <row r="88" spans="1:11" ht="12.75">
      <c r="A88" s="185" t="s">
        <v>144</v>
      </c>
      <c r="B88" s="187">
        <f>COUNTIF('Журнал регистрации НК'!E$6:E$305,"Ленинск-Кузнецкий м.о.")</f>
        <v>0</v>
      </c>
      <c r="C88" s="187">
        <f>SUMIF('Журнал регистрации НК'!E$6:E$305,"Ленинск-Кузнецкий м.о.",'Журнал регистрации НК'!G$6:G$305)</f>
        <v>0</v>
      </c>
      <c r="D88" s="187">
        <f>SUMIF('Журнал регистрации НК'!E$6:E$305,"Ленинск-Кузнецкий м.о.",'Журнал регистрации НК'!H$6:H$305)</f>
        <v>0</v>
      </c>
      <c r="E88" s="223">
        <f>_xlfn.COUNTIFS('Журнал регистрации КС'!E$6:E$40,"Ленинск-Кузнецкий м.о.")</f>
        <v>0</v>
      </c>
      <c r="F88" s="224">
        <f>_xlfn.SUMIFS('Журнал регистрации КС'!G$6:G$40,'Журнал регистрации КС'!E$6:E$40,"Ленинск-Кузнецкий м.о.")</f>
        <v>0</v>
      </c>
      <c r="G88" s="223">
        <f>_xlfn.SUMIFS('Журнал регистрации КС'!H$6:H$40,'Журнал регистрации КС'!E$6:E$40,"Ленинск-Кузнецкий м.о.")</f>
        <v>0</v>
      </c>
      <c r="H88" s="184">
        <f t="shared" si="4"/>
        <v>0</v>
      </c>
      <c r="I88" s="184">
        <f t="shared" si="5"/>
        <v>0</v>
      </c>
      <c r="J88" s="186">
        <f t="shared" si="6"/>
        <v>0</v>
      </c>
      <c r="K88" s="186">
        <f t="shared" si="7"/>
        <v>0</v>
      </c>
    </row>
    <row r="89" spans="1:11" ht="12.75">
      <c r="A89" s="185" t="s">
        <v>182</v>
      </c>
      <c r="B89" s="187">
        <f>COUNTIF('Журнал регистрации НК'!E$6:E$305,"Мариинский м.о.")</f>
        <v>0</v>
      </c>
      <c r="C89" s="187">
        <f>SUMIF('Журнал регистрации НК'!E$6:E$305,"Мариинский м.о.",'Журнал регистрации НК'!G$6:G$305)</f>
        <v>0</v>
      </c>
      <c r="D89" s="187">
        <f>SUMIF('Журнал регистрации НК'!E$6:E$305,"Мариинский м.о.",'Журнал регистрации НК'!H$6:H$305)</f>
        <v>0</v>
      </c>
      <c r="E89" s="223">
        <f>_xlfn.COUNTIFS('Журнал регистрации КС'!E$6:E$40,"Мариинский м.о.")</f>
        <v>0</v>
      </c>
      <c r="F89" s="224">
        <f>_xlfn.SUMIFS('Журнал регистрации КС'!G$6:G$40,'Журнал регистрации КС'!E$6:E$40,"Мариинский м.о.")</f>
        <v>0</v>
      </c>
      <c r="G89" s="223">
        <f>_xlfn.SUMIFS('Журнал регистрации КС'!H$6:H$40,'Журнал регистрации КС'!E$6:E$40,"Мариинский м.о.")</f>
        <v>0</v>
      </c>
      <c r="H89" s="184">
        <f t="shared" si="4"/>
        <v>0</v>
      </c>
      <c r="I89" s="184">
        <f t="shared" si="5"/>
        <v>0</v>
      </c>
      <c r="J89" s="186">
        <f t="shared" si="6"/>
        <v>0</v>
      </c>
      <c r="K89" s="186">
        <f t="shared" si="7"/>
        <v>0</v>
      </c>
    </row>
    <row r="90" spans="1:11" ht="12.75">
      <c r="A90" s="185" t="s">
        <v>160</v>
      </c>
      <c r="B90" s="187">
        <f>COUNTIF('Журнал регистрации НК'!E$6:E$305,"Междуреченский г.о.")</f>
        <v>0</v>
      </c>
      <c r="C90" s="187">
        <f>SUMIF('Журнал регистрации НК'!E$6:E$305,"Междуреченский г.о.",'Журнал регистрации НК'!G$6:G$305)</f>
        <v>0</v>
      </c>
      <c r="D90" s="187">
        <f>SUMIF('Журнал регистрации НК'!E$6:E$305,"Междуреченский г.о.",'Журнал регистрации НК'!H$6:H$305)</f>
        <v>0</v>
      </c>
      <c r="E90" s="223">
        <f>_xlfn.COUNTIFS('Журнал регистрации КС'!E$6:E$40,"Междуреченский г.о.")</f>
        <v>0</v>
      </c>
      <c r="F90" s="224">
        <f>_xlfn.SUMIFS('Журнал регистрации КС'!G$6:G$40,'Журнал регистрации КС'!E$6:E$40,"Междуреченский г.о.")</f>
        <v>0</v>
      </c>
      <c r="G90" s="223">
        <f>_xlfn.SUMIFS('Журнал регистрации КС'!H$6:H$40,'Журнал регистрации КС'!E$6:E$40,"Междуреченский г.о.")</f>
        <v>0</v>
      </c>
      <c r="H90" s="184">
        <f t="shared" si="4"/>
        <v>0</v>
      </c>
      <c r="I90" s="184">
        <f t="shared" si="5"/>
        <v>0</v>
      </c>
      <c r="J90" s="186">
        <f t="shared" si="6"/>
        <v>0</v>
      </c>
      <c r="K90" s="186">
        <f t="shared" si="7"/>
        <v>0</v>
      </c>
    </row>
    <row r="91" spans="1:11" ht="12.75">
      <c r="A91" s="185" t="s">
        <v>148</v>
      </c>
      <c r="B91" s="187">
        <f>COUNTIF('Журнал регистрации НК'!E$6:E$305,"Мысковский г.о.")</f>
        <v>0</v>
      </c>
      <c r="C91" s="187">
        <f>SUMIF('Журнал регистрации НК'!E$6:E$305,"Мысковский г.о.",'Журнал регистрации НК'!G$6:G$305)</f>
        <v>0</v>
      </c>
      <c r="D91" s="187">
        <f>SUMIF('Журнал регистрации НК'!E$6:E$305,"Мысковский г.о.",'Журнал регистрации НК'!H$6:H$305)</f>
        <v>0</v>
      </c>
      <c r="E91" s="223">
        <f>_xlfn.COUNTIFS('Журнал регистрации КС'!E$6:E$40,"Мысковский г.о.")</f>
        <v>0</v>
      </c>
      <c r="F91" s="224">
        <f>_xlfn.SUMIFS('Журнал регистрации КС'!G$6:G$40,'Журнал регистрации КС'!E$6:E$40,"Мысковский г.о.")</f>
        <v>0</v>
      </c>
      <c r="G91" s="223">
        <f>_xlfn.SUMIFS('Журнал регистрации КС'!H$6:H$40,'Журнал регистрации КС'!E$6:E$40,"Мысковский г.о.")</f>
        <v>0</v>
      </c>
      <c r="H91" s="184">
        <f t="shared" si="4"/>
        <v>0</v>
      </c>
      <c r="I91" s="184">
        <f t="shared" si="5"/>
        <v>0</v>
      </c>
      <c r="J91" s="186">
        <f t="shared" si="6"/>
        <v>0</v>
      </c>
      <c r="K91" s="186">
        <f t="shared" si="7"/>
        <v>0</v>
      </c>
    </row>
    <row r="92" spans="1:11" ht="12.75">
      <c r="A92" s="185" t="s">
        <v>155</v>
      </c>
      <c r="B92" s="187">
        <f>COUNTIF('Журнал регистрации НК'!E$6:E$305,"Новокузнецкий г.о.")</f>
        <v>0</v>
      </c>
      <c r="C92" s="187">
        <f>SUMIF('Журнал регистрации НК'!E$6:E$305,"Новокузнецкий г.о.",'Журнал регистрации НК'!G$6:G$305)</f>
        <v>0</v>
      </c>
      <c r="D92" s="187">
        <f>SUMIF('Журнал регистрации НК'!E$6:E$305,"Новокузнецкий г.о.",'Журнал регистрации НК'!H$6:H$305)</f>
        <v>0</v>
      </c>
      <c r="E92" s="223">
        <f>_xlfn.COUNTIFS('Журнал регистрации КС'!E$6:E$40,"Новокузнецкий г.о.")</f>
        <v>0</v>
      </c>
      <c r="F92" s="224">
        <f>_xlfn.SUMIFS('Журнал регистрации КС'!G$6:G$40,'Журнал регистрации КС'!E$6:E$40,"Новокузнецкий г.о.")</f>
        <v>0</v>
      </c>
      <c r="G92" s="223">
        <f>_xlfn.SUMIFS('Журнал регистрации КС'!H$6:H$40,'Журнал регистрации КС'!E$6:E$40,"Новокузнецкий г.о.")</f>
        <v>0</v>
      </c>
      <c r="H92" s="184">
        <f t="shared" si="4"/>
        <v>0</v>
      </c>
      <c r="I92" s="184">
        <f t="shared" si="5"/>
        <v>0</v>
      </c>
      <c r="J92" s="186">
        <f t="shared" si="6"/>
        <v>0</v>
      </c>
      <c r="K92" s="186">
        <f t="shared" si="7"/>
        <v>0</v>
      </c>
    </row>
    <row r="93" spans="1:11" ht="12.75">
      <c r="A93" s="185" t="s">
        <v>185</v>
      </c>
      <c r="B93" s="187">
        <f>COUNTIF('Журнал регистрации НК'!E$6:E$305,"Новокузнецкий м.р.")</f>
        <v>0</v>
      </c>
      <c r="C93" s="187">
        <f>SUMIF('Журнал регистрации НК'!E$6:E$305,"Новокузнецкий м.р.",'Журнал регистрации НК'!G$6:G$305)</f>
        <v>0</v>
      </c>
      <c r="D93" s="187">
        <f>SUMIF('Журнал регистрации НК'!E$6:E$305,"Новокузнецкий м.р.",'Журнал регистрации НК'!H$6:H$305)</f>
        <v>0</v>
      </c>
      <c r="E93" s="223">
        <f>_xlfn.COUNTIFS('Журнал регистрации КС'!E$6:E$40,"Новокузнецкий м.р.")</f>
        <v>0</v>
      </c>
      <c r="F93" s="224">
        <f>_xlfn.SUMIFS('Журнал регистрации КС'!G$6:G$40,'Журнал регистрации КС'!E$6:E$40,"Новокузнецкий м.р.")</f>
        <v>0</v>
      </c>
      <c r="G93" s="223">
        <f>_xlfn.SUMIFS('Журнал регистрации КС'!H$6:H$40,'Журнал регистрации КС'!E$6:E$40,"Новокузнецкий м.р.")</f>
        <v>0</v>
      </c>
      <c r="H93" s="184">
        <f t="shared" si="4"/>
        <v>0</v>
      </c>
      <c r="I93" s="184">
        <f t="shared" si="5"/>
        <v>0</v>
      </c>
      <c r="J93" s="186">
        <f t="shared" si="6"/>
        <v>0</v>
      </c>
      <c r="K93" s="186">
        <f t="shared" si="7"/>
        <v>0</v>
      </c>
    </row>
    <row r="94" spans="1:11" ht="12.75">
      <c r="A94" s="185" t="s">
        <v>149</v>
      </c>
      <c r="B94" s="187">
        <f>COUNTIF('Журнал регистрации НК'!E$6:E$305,"Осинниковский г.о.")</f>
        <v>0</v>
      </c>
      <c r="C94" s="187">
        <f>SUMIF('Журнал регистрации НК'!E$6:E$305,"Осинниковский г.о.",'Журнал регистрации НК'!G$6:G$305)</f>
        <v>0</v>
      </c>
      <c r="D94" s="187">
        <f>SUMIF('Журнал регистрации НК'!E$6:E$305,"Осинниковский г.о.",'Журнал регистрации НК'!H$6:H$305)</f>
        <v>0</v>
      </c>
      <c r="E94" s="223">
        <f>_xlfn.COUNTIFS('Журнал регистрации КС'!E$6:E$40,"Осинниковский г.о.")</f>
        <v>0</v>
      </c>
      <c r="F94" s="224">
        <f>_xlfn.SUMIFS('Журнал регистрации КС'!G$6:G$40,'Журнал регистрации КС'!E$6:E$40,"Осинниковский г.о.")</f>
        <v>0</v>
      </c>
      <c r="G94" s="223">
        <f>_xlfn.SUMIFS('Журнал регистрации КС'!H$6:H$40,'Журнал регистрации КС'!E$6:E$40,"Осинниковский г.о.")</f>
        <v>0</v>
      </c>
      <c r="H94" s="184">
        <f t="shared" si="4"/>
        <v>0</v>
      </c>
      <c r="I94" s="184">
        <f t="shared" si="5"/>
        <v>0</v>
      </c>
      <c r="J94" s="186">
        <f t="shared" si="6"/>
        <v>0</v>
      </c>
      <c r="K94" s="186">
        <f t="shared" si="7"/>
        <v>0</v>
      </c>
    </row>
    <row r="95" spans="1:11" ht="12.75">
      <c r="A95" s="185" t="s">
        <v>150</v>
      </c>
      <c r="B95" s="187">
        <f>COUNTIF('Журнал регистрации НК'!E$6:E$305,"Полысаевский г.о.")</f>
        <v>0</v>
      </c>
      <c r="C95" s="187">
        <f>SUMIF('Журнал регистрации НК'!E$6:E$305,"Полысаевский г.о.",'Журнал регистрации НК'!G$6:G$305)</f>
        <v>0</v>
      </c>
      <c r="D95" s="187">
        <f>SUMIF('Журнал регистрации НК'!E$6:E$305,"Полысаевский г.о.",'Журнал регистрации НК'!H$6:H$305)</f>
        <v>0</v>
      </c>
      <c r="E95" s="223">
        <f>_xlfn.COUNTIFS('Журнал регистрации КС'!E$6:E$40,"Полысаевский г.о.")</f>
        <v>0</v>
      </c>
      <c r="F95" s="224">
        <f>_xlfn.SUMIFS('Журнал регистрации КС'!G$6:G$40,'Журнал регистрации КС'!E$6:E$40,"Полысаевский г.о.")</f>
        <v>0</v>
      </c>
      <c r="G95" s="223">
        <f>_xlfn.SUMIFS('Журнал регистрации КС'!H$6:H$40,'Журнал регистрации КС'!E$6:E$40,"Полысаевский г.о.")</f>
        <v>0</v>
      </c>
      <c r="H95" s="184">
        <f t="shared" si="4"/>
        <v>0</v>
      </c>
      <c r="I95" s="184">
        <f t="shared" si="5"/>
        <v>0</v>
      </c>
      <c r="J95" s="186">
        <f t="shared" si="6"/>
        <v>0</v>
      </c>
      <c r="K95" s="186">
        <f t="shared" si="7"/>
        <v>0</v>
      </c>
    </row>
    <row r="96" spans="1:11" ht="12.75">
      <c r="A96" s="185" t="s">
        <v>151</v>
      </c>
      <c r="B96" s="187">
        <f>COUNTIF('Журнал регистрации НК'!E$6:E$305,"Прокопьевский г.о.")</f>
        <v>0</v>
      </c>
      <c r="C96" s="187">
        <f>SUMIF('Журнал регистрации НК'!E$6:E$305,"Прокопьевский г.о.",'Журнал регистрации НК'!G$6:G$305)</f>
        <v>0</v>
      </c>
      <c r="D96" s="187">
        <f>SUMIF('Журнал регистрации НК'!E$6:E$305,"Прокопьевский г.о.",'Журнал регистрации НК'!H$6:H$305)</f>
        <v>0</v>
      </c>
      <c r="E96" s="223">
        <f>_xlfn.COUNTIFS('Журнал регистрации КС'!E$6:E$40,"Прокопьевский г.о.")</f>
        <v>0</v>
      </c>
      <c r="F96" s="224">
        <f>_xlfn.SUMIFS('Журнал регистрации КС'!G$6:G$40,'Журнал регистрации КС'!E$6:E$40,"Прокопьевский г.о.")</f>
        <v>0</v>
      </c>
      <c r="G96" s="223">
        <f>_xlfn.SUMIFS('Журнал регистрации КС'!H$6:H$40,'Журнал регистрации КС'!E$6:E$40,"Прокопьевский г.о.")</f>
        <v>0</v>
      </c>
      <c r="H96" s="184">
        <f t="shared" si="4"/>
        <v>0</v>
      </c>
      <c r="I96" s="184">
        <f t="shared" si="5"/>
        <v>0</v>
      </c>
      <c r="J96" s="186">
        <f t="shared" si="6"/>
        <v>0</v>
      </c>
      <c r="K96" s="186">
        <f t="shared" si="7"/>
        <v>0</v>
      </c>
    </row>
    <row r="97" spans="1:11" ht="12.75">
      <c r="A97" s="185" t="s">
        <v>161</v>
      </c>
      <c r="B97" s="187">
        <f>COUNTIF('Журнал регистрации НК'!E$6:E$305,"Прокопьевский м.о.")</f>
        <v>0</v>
      </c>
      <c r="C97" s="187">
        <f>SUMIF('Журнал регистрации НК'!E$6:E$305,"Прокопьевский м.о.",'Журнал регистрации НК'!G$6:G$305)</f>
        <v>0</v>
      </c>
      <c r="D97" s="187">
        <f>SUMIF('Журнал регистрации НК'!E$6:E$305,"Прокопьевский м.о.",'Журнал регистрации НК'!H$6:H$305)</f>
        <v>0</v>
      </c>
      <c r="E97" s="223">
        <f>_xlfn.COUNTIFS('Журнал регистрации КС'!E$6:E$40,"Прокопьевский м.о.")</f>
        <v>0</v>
      </c>
      <c r="F97" s="224">
        <f>_xlfn.SUMIFS('Журнал регистрации КС'!G$6:G$40,'Журнал регистрации КС'!E$6:E$40,"Прокопьевский м.о.")</f>
        <v>0</v>
      </c>
      <c r="G97" s="223">
        <f>_xlfn.SUMIFS('Журнал регистрации КС'!H$6:H$40,'Журнал регистрации КС'!E$6:E$40,"Прокопьевский м.о.")</f>
        <v>0</v>
      </c>
      <c r="H97" s="184">
        <f t="shared" si="4"/>
        <v>0</v>
      </c>
      <c r="I97" s="184">
        <f t="shared" si="5"/>
        <v>0</v>
      </c>
      <c r="J97" s="186">
        <f t="shared" si="6"/>
        <v>0</v>
      </c>
      <c r="K97" s="186">
        <f t="shared" si="7"/>
        <v>0</v>
      </c>
    </row>
    <row r="98" spans="1:11" ht="12.75">
      <c r="A98" s="185" t="s">
        <v>154</v>
      </c>
      <c r="B98" s="187">
        <f>COUNTIF('Журнал регистрации НК'!E$6:E$305,"Промышленновский м.о.")</f>
        <v>0</v>
      </c>
      <c r="C98" s="187">
        <f>SUMIF('Журнал регистрации НК'!E$6:E$305,"Промышленновский м.о.",'Журнал регистрации НК'!G$6:G$305)</f>
        <v>0</v>
      </c>
      <c r="D98" s="187">
        <f>SUMIF('Журнал регистрации НК'!E$6:E$305,"Промышленновский м.о.",'Журнал регистрации НК'!H$6:H$305)</f>
        <v>0</v>
      </c>
      <c r="E98" s="223">
        <f>_xlfn.COUNTIFS('Журнал регистрации КС'!E$6:E$40,"Промышленновский м.о.")</f>
        <v>0</v>
      </c>
      <c r="F98" s="224">
        <f>_xlfn.SUMIFS('Журнал регистрации КС'!G$6:G$40,'Журнал регистрации КС'!E$6:E$40,"Промышленновский м.о.")</f>
        <v>0</v>
      </c>
      <c r="G98" s="223">
        <f>_xlfn.SUMIFS('Журнал регистрации КС'!H$6:H$40,'Журнал регистрации КС'!E$6:E$40,"Промышленновский м.о.")</f>
        <v>0</v>
      </c>
      <c r="H98" s="184">
        <f t="shared" si="4"/>
        <v>0</v>
      </c>
      <c r="I98" s="184">
        <f t="shared" si="5"/>
        <v>0</v>
      </c>
      <c r="J98" s="186">
        <f t="shared" si="6"/>
        <v>0</v>
      </c>
      <c r="K98" s="186">
        <f t="shared" si="7"/>
        <v>0</v>
      </c>
    </row>
    <row r="99" spans="1:11" ht="12.75">
      <c r="A99" s="185" t="s">
        <v>152</v>
      </c>
      <c r="B99" s="187">
        <f>COUNTIF('Журнал регистрации НК'!E$6:E$305,"Тайгинский г.о.")</f>
        <v>0</v>
      </c>
      <c r="C99" s="187">
        <f>SUMIF('Журнал регистрации НК'!E$6:E$305,"Тайгинский г.о.",'Журнал регистрации НК'!G$6:G$305)</f>
        <v>0</v>
      </c>
      <c r="D99" s="187">
        <f>SUMIF('Журнал регистрации НК'!E$6:E$305,"Тайгинский г.о.",'Журнал регистрации НК'!H$6:H$305)</f>
        <v>0</v>
      </c>
      <c r="E99" s="223">
        <f>_xlfn.COUNTIFS('Журнал регистрации КС'!E$6:E$40,"Тайгинский г.о.")</f>
        <v>0</v>
      </c>
      <c r="F99" s="224">
        <f>_xlfn.SUMIFS('Журнал регистрации КС'!G$6:G$40,'Журнал регистрации КС'!E$6:E$40,"Тайгинский г.о.")</f>
        <v>0</v>
      </c>
      <c r="G99" s="223">
        <f>_xlfn.SUMIFS('Журнал регистрации КС'!H$6:H$40,'Журнал регистрации КС'!E$6:E$40,"Тайгинский г.о.")</f>
        <v>0</v>
      </c>
      <c r="H99" s="184">
        <f t="shared" si="4"/>
        <v>0</v>
      </c>
      <c r="I99" s="184">
        <f t="shared" si="5"/>
        <v>0</v>
      </c>
      <c r="J99" s="186">
        <f t="shared" si="6"/>
        <v>0</v>
      </c>
      <c r="K99" s="186">
        <f t="shared" si="7"/>
        <v>0</v>
      </c>
    </row>
    <row r="100" spans="1:11" ht="12.75">
      <c r="A100" s="185" t="s">
        <v>186</v>
      </c>
      <c r="B100" s="187">
        <f>COUNTIF('Журнал регистрации НК'!E$6:E$305,"Таштагольский м.р.")</f>
        <v>0</v>
      </c>
      <c r="C100" s="187">
        <f>SUMIF('Журнал регистрации НК'!E$6:E$305,"Таштагольский м.р.",'Журнал регистрации НК'!G$6:G$305)</f>
        <v>0</v>
      </c>
      <c r="D100" s="187">
        <f>SUMIF('Журнал регистрации НК'!E$6:E$305,"Таштагольский м.р.",'Журнал регистрации НК'!H$6:H$305)</f>
        <v>0</v>
      </c>
      <c r="E100" s="223">
        <f>_xlfn.COUNTIFS('Журнал регистрации КС'!E$6:E$40,"Таштагольский м.р.")</f>
        <v>0</v>
      </c>
      <c r="F100" s="224">
        <f>_xlfn.SUMIFS('Журнал регистрации КС'!G$6:G$40,'Журнал регистрации КС'!E$6:E$40,"Таштагольский м.р.")</f>
        <v>0</v>
      </c>
      <c r="G100" s="223">
        <f>_xlfn.SUMIFS('Журнал регистрации КС'!H$6:H$40,'Журнал регистрации КС'!E$6:E$40,"Таштагольский м.р.")</f>
        <v>0</v>
      </c>
      <c r="H100" s="184">
        <f t="shared" si="4"/>
        <v>0</v>
      </c>
      <c r="I100" s="184">
        <f t="shared" si="5"/>
        <v>0</v>
      </c>
      <c r="J100" s="186">
        <f t="shared" si="6"/>
        <v>0</v>
      </c>
      <c r="K100" s="186">
        <f t="shared" si="7"/>
        <v>0</v>
      </c>
    </row>
    <row r="101" spans="1:11" ht="12.75">
      <c r="A101" s="185" t="s">
        <v>183</v>
      </c>
      <c r="B101" s="187">
        <f>COUNTIF('Журнал регистрации НК'!E$6:E$305,"Тисульский м.о.")</f>
        <v>0</v>
      </c>
      <c r="C101" s="187">
        <f>SUMIF('Журнал регистрации НК'!E$6:E$305,"Тисульский м.о.",'Журнал регистрации НК'!G$6:G$305)</f>
        <v>0</v>
      </c>
      <c r="D101" s="187">
        <f>SUMIF('Журнал регистрации НК'!E$6:E$305,"Тисульский м.о.",'Журнал регистрации НК'!H$6:H$305)</f>
        <v>0</v>
      </c>
      <c r="E101" s="223">
        <f>_xlfn.COUNTIFS('Журнал регистрации КС'!E$6:E$40,"Тисульский м.о.")</f>
        <v>0</v>
      </c>
      <c r="F101" s="224">
        <f>_xlfn.SUMIFS('Журнал регистрации КС'!G$6:G$40,'Журнал регистрации КС'!E$6:E$40,"Тисульский м.о.")</f>
        <v>0</v>
      </c>
      <c r="G101" s="223">
        <f>_xlfn.SUMIFS('Журнал регистрации КС'!H$6:H$40,'Журнал регистрации КС'!E$6:E$40,"Тисульский м.о.")</f>
        <v>0</v>
      </c>
      <c r="H101" s="184">
        <f t="shared" si="4"/>
        <v>0</v>
      </c>
      <c r="I101" s="184">
        <f t="shared" si="5"/>
        <v>0</v>
      </c>
      <c r="J101" s="186">
        <f t="shared" si="6"/>
        <v>0</v>
      </c>
      <c r="K101" s="186">
        <f t="shared" si="7"/>
        <v>0</v>
      </c>
    </row>
    <row r="102" spans="1:11" ht="12.75">
      <c r="A102" s="185" t="s">
        <v>162</v>
      </c>
      <c r="B102" s="187">
        <f>COUNTIF('Журнал регистрации НК'!E$6:E$305,"Топкинский м.о.")</f>
        <v>0</v>
      </c>
      <c r="C102" s="187">
        <f>SUMIF('Журнал регистрации НК'!E$6:E$305,"Топкинский м.о.",'Журнал регистрации НК'!G$6:G$305)</f>
        <v>0</v>
      </c>
      <c r="D102" s="187">
        <f>SUMIF('Журнал регистрации НК'!E$6:E$305,"Топкинский м.о.",'Журнал регистрации НК'!H$6:H$305)</f>
        <v>0</v>
      </c>
      <c r="E102" s="223">
        <f>_xlfn.COUNTIFS('Журнал регистрации КС'!E$6:E$40,"Топкинский м.о.")</f>
        <v>0</v>
      </c>
      <c r="F102" s="224">
        <f>_xlfn.SUMIFS('Журнал регистрации КС'!G$6:G$40,'Журнал регистрации КС'!E$6:E$40,"Топкинский м.о.")</f>
        <v>0</v>
      </c>
      <c r="G102" s="223">
        <f>_xlfn.SUMIFS('Журнал регистрации КС'!H$6:H$40,'Журнал регистрации КС'!E$6:E$40,"Топкинский м.о.")</f>
        <v>0</v>
      </c>
      <c r="H102" s="184">
        <f t="shared" si="4"/>
        <v>0</v>
      </c>
      <c r="I102" s="184">
        <f t="shared" si="5"/>
        <v>0</v>
      </c>
      <c r="J102" s="186">
        <f t="shared" si="6"/>
        <v>0</v>
      </c>
      <c r="K102" s="186">
        <f t="shared" si="7"/>
        <v>0</v>
      </c>
    </row>
    <row r="103" spans="1:11" ht="12.75">
      <c r="A103" s="185" t="s">
        <v>163</v>
      </c>
      <c r="B103" s="187">
        <f>COUNTIF('Журнал регистрации НК'!E$6:E$305,"Тяжинский м.о.")</f>
        <v>0</v>
      </c>
      <c r="C103" s="187">
        <f>SUMIF('Журнал регистрации НК'!E$6:E$305,"Тяжинский м.о.",'Журнал регистрации НК'!G$6:G$305)</f>
        <v>0</v>
      </c>
      <c r="D103" s="187">
        <f>SUMIF('Журнал регистрации НК'!E$6:E$305,"Тяжинский м.о.",'Журнал регистрации НК'!H$6:H$305)</f>
        <v>0</v>
      </c>
      <c r="E103" s="223">
        <f>_xlfn.COUNTIFS('Журнал регистрации КС'!E$6:E$40,"Тяжинский м.о.")</f>
        <v>0</v>
      </c>
      <c r="F103" s="224">
        <f>_xlfn.SUMIFS('Журнал регистрации КС'!G$6:G$40,'Журнал регистрации КС'!E$6:E$40,"Тяжинский м.о.")</f>
        <v>0</v>
      </c>
      <c r="G103" s="223">
        <f>_xlfn.SUMIFS('Журнал регистрации КС'!H$6:H$40,'Журнал регистрации КС'!E$6:E$40,"Тяжинский м.о.")</f>
        <v>0</v>
      </c>
      <c r="H103" s="184">
        <f t="shared" si="4"/>
        <v>0</v>
      </c>
      <c r="I103" s="184">
        <f t="shared" si="5"/>
        <v>0</v>
      </c>
      <c r="J103" s="186">
        <f t="shared" si="6"/>
        <v>0</v>
      </c>
      <c r="K103" s="186">
        <f t="shared" si="7"/>
        <v>0</v>
      </c>
    </row>
    <row r="104" spans="1:11" ht="12.75">
      <c r="A104" s="185" t="s">
        <v>164</v>
      </c>
      <c r="B104" s="187">
        <f>COUNTIF('Журнал регистрации НК'!E$6:E$305,"Чебулинский м.о.")</f>
        <v>0</v>
      </c>
      <c r="C104" s="187">
        <f>SUMIF('Журнал регистрации НК'!E$6:E$305,"Чебулинский м.о.",'Журнал регистрации НК'!G$6:G$305)</f>
        <v>0</v>
      </c>
      <c r="D104" s="187">
        <f>SUMIF('Журнал регистрации НК'!E$6:E$305,"Чебулинский м.о.",'Журнал регистрации НК'!H$6:H$305)</f>
        <v>0</v>
      </c>
      <c r="E104" s="223">
        <f>_xlfn.COUNTIFS('Журнал регистрации КС'!E$6:E$40,"Чебулинский м.о.")</f>
        <v>0</v>
      </c>
      <c r="F104" s="224">
        <f>_xlfn.SUMIFS('Журнал регистрации КС'!G$6:G$40,'Журнал регистрации КС'!E$6:E$40,"Чебулинский м.о.")</f>
        <v>0</v>
      </c>
      <c r="G104" s="223">
        <f>_xlfn.SUMIFS('Журнал регистрации КС'!H$6:H$40,'Журнал регистрации КС'!E$6:E$40,"Чебулинский м.о.")</f>
        <v>0</v>
      </c>
      <c r="H104" s="184">
        <f t="shared" si="4"/>
        <v>0</v>
      </c>
      <c r="I104" s="184">
        <f t="shared" si="5"/>
        <v>0</v>
      </c>
      <c r="J104" s="186">
        <f t="shared" si="6"/>
        <v>0</v>
      </c>
      <c r="K104" s="186">
        <f t="shared" si="7"/>
        <v>0</v>
      </c>
    </row>
    <row r="105" spans="1:11" ht="12.75">
      <c r="A105" s="185" t="s">
        <v>153</v>
      </c>
      <c r="B105" s="187">
        <f>COUNTIF('Журнал регистрации НК'!E$6:E$305,"Юргинский г.о.")</f>
        <v>0</v>
      </c>
      <c r="C105" s="187">
        <f>SUMIF('Журнал регистрации НК'!E$6:E$305,"Юргинский г.о.",'Журнал регистрации НК'!G$6:G$305)</f>
        <v>0</v>
      </c>
      <c r="D105" s="187">
        <f>SUMIF('Журнал регистрации НК'!E$6:E$305,"Юргинский г.о.",'Журнал регистрации НК'!H$6:H$305)</f>
        <v>0</v>
      </c>
      <c r="E105" s="223">
        <f>_xlfn.COUNTIFS('Журнал регистрации КС'!E$6:E$40,"Юргинский г.о.")</f>
        <v>0</v>
      </c>
      <c r="F105" s="224">
        <f>_xlfn.SUMIFS('Журнал регистрации КС'!G$6:G$40,'Журнал регистрации КС'!E$6:E$40,"Юргинский г.о.")</f>
        <v>0</v>
      </c>
      <c r="G105" s="223">
        <f>_xlfn.SUMIFS('Журнал регистрации КС'!H$6:H$40,'Журнал регистрации КС'!E$6:E$40,"Юргинский г.о.")</f>
        <v>0</v>
      </c>
      <c r="H105" s="184">
        <f t="shared" si="4"/>
        <v>0</v>
      </c>
      <c r="I105" s="184">
        <f t="shared" si="5"/>
        <v>0</v>
      </c>
      <c r="J105" s="186">
        <f t="shared" si="6"/>
        <v>0</v>
      </c>
      <c r="K105" s="186">
        <f t="shared" si="7"/>
        <v>0</v>
      </c>
    </row>
    <row r="106" spans="1:11" ht="12.75">
      <c r="A106" s="185" t="s">
        <v>165</v>
      </c>
      <c r="B106" s="187">
        <f>COUNTIF('Журнал регистрации НК'!E$6:E$305,"Юргинский м.о.")</f>
        <v>0</v>
      </c>
      <c r="C106" s="187">
        <f>SUMIF('Журнал регистрации НК'!E$6:E$305,"Юргинский м.о.",'Журнал регистрации НК'!G$6:G$305)</f>
        <v>0</v>
      </c>
      <c r="D106" s="187">
        <f>SUMIF('Журнал регистрации НК'!E$6:E$305,"Юргинский м.о.",'Журнал регистрации НК'!H$6:H$305)</f>
        <v>0</v>
      </c>
      <c r="E106" s="223">
        <f>_xlfn.COUNTIFS('Журнал регистрации КС'!E$6:E$40,"Юргинский м.о.")</f>
        <v>0</v>
      </c>
      <c r="F106" s="224">
        <f>_xlfn.SUMIFS('Журнал регистрации КС'!G$6:G$40,'Журнал регистрации КС'!E$6:E$40,"Юргинский м.о.")</f>
        <v>0</v>
      </c>
      <c r="G106" s="223">
        <f>_xlfn.SUMIFS('Журнал регистрации КС'!H$6:H$40,'Журнал регистрации КС'!E$6:E$40,"Юргинский м.о.")</f>
        <v>0</v>
      </c>
      <c r="H106" s="184">
        <f t="shared" si="4"/>
        <v>0</v>
      </c>
      <c r="I106" s="184">
        <f t="shared" si="5"/>
        <v>0</v>
      </c>
      <c r="J106" s="186">
        <f t="shared" si="6"/>
        <v>0</v>
      </c>
      <c r="K106" s="186">
        <f t="shared" si="7"/>
        <v>0</v>
      </c>
    </row>
    <row r="107" spans="1:11" ht="12.75">
      <c r="A107" s="185" t="s">
        <v>166</v>
      </c>
      <c r="B107" s="187">
        <f>COUNTIF('Журнал регистрации НК'!E$6:E$305,"Яйский м.о.")</f>
        <v>0</v>
      </c>
      <c r="C107" s="187">
        <f>SUMIF('Журнал регистрации НК'!E$6:E$305,"Яйский м.о.",'Журнал регистрации НК'!G$6:G$305)</f>
        <v>0</v>
      </c>
      <c r="D107" s="187">
        <f>SUMIF('Журнал регистрации НК'!E$6:E$305,"Яйский м.о.",'Журнал регистрации НК'!H$6:H$305)</f>
        <v>0</v>
      </c>
      <c r="E107" s="223">
        <f>_xlfn.COUNTIFS('Журнал регистрации КС'!E$6:E$40,"Яйский м.о.")</f>
        <v>0</v>
      </c>
      <c r="F107" s="224">
        <f>_xlfn.SUMIFS('Журнал регистрации КС'!G$6:G$40,'Журнал регистрации КС'!E$6:E$40,"Яйский м.о.")</f>
        <v>0</v>
      </c>
      <c r="G107" s="223">
        <f>_xlfn.SUMIFS('Журнал регистрации КС'!H$6:H$40,'Журнал регистрации КС'!E$6:E$40,"Яйский м.о.")</f>
        <v>0</v>
      </c>
      <c r="H107" s="184">
        <f t="shared" si="4"/>
        <v>0</v>
      </c>
      <c r="I107" s="184">
        <f t="shared" si="5"/>
        <v>0</v>
      </c>
      <c r="J107" s="186">
        <f t="shared" si="6"/>
        <v>0</v>
      </c>
      <c r="K107" s="186">
        <f t="shared" si="7"/>
        <v>0</v>
      </c>
    </row>
    <row r="108" spans="1:11" ht="12.75">
      <c r="A108" s="185" t="s">
        <v>167</v>
      </c>
      <c r="B108" s="187">
        <f>COUNTIF('Журнал регистрации НК'!E$6:E$305,"Яшкинский м.о.")</f>
        <v>0</v>
      </c>
      <c r="C108" s="187">
        <f>SUMIF('Журнал регистрации НК'!E$6:E$305,"Яшкинский м.о.",'Журнал регистрации НК'!G$6:G$305)</f>
        <v>0</v>
      </c>
      <c r="D108" s="187">
        <f>SUMIF('Журнал регистрации НК'!E$6:E$305,"Яшкинский м.о.",'Журнал регистрации НК'!H$6:H$305)</f>
        <v>0</v>
      </c>
      <c r="E108" s="223">
        <f>_xlfn.COUNTIFS('Журнал регистрации КС'!E$6:E$40,"Яшкинский м.о.")</f>
        <v>0</v>
      </c>
      <c r="F108" s="224">
        <f>_xlfn.SUMIFS('Журнал регистрации КС'!G$6:G$40,'Журнал регистрации КС'!E$6:E$40,"Яшкинский м.о.")</f>
        <v>0</v>
      </c>
      <c r="G108" s="223">
        <f>_xlfn.SUMIFS('Журнал регистрации КС'!H$6:H$40,'Журнал регистрации КС'!E$6:E$40,"Яшкинский м.о.")</f>
        <v>0</v>
      </c>
      <c r="H108" s="184">
        <f t="shared" si="4"/>
        <v>0</v>
      </c>
      <c r="I108" s="184">
        <f t="shared" si="5"/>
        <v>0</v>
      </c>
      <c r="J108" s="186">
        <f t="shared" si="6"/>
        <v>0</v>
      </c>
      <c r="K108" s="186">
        <f t="shared" si="7"/>
        <v>0</v>
      </c>
    </row>
    <row r="109" spans="1:11" ht="12.75">
      <c r="A109" s="185" t="s">
        <v>200</v>
      </c>
      <c r="B109" s="187">
        <f>COUNTIF('Журнал регистрации НК'!E$6:E$305,"КЦДЮТЭ")</f>
        <v>0</v>
      </c>
      <c r="C109" s="187">
        <f>SUMIF('Журнал регистрации НК'!E$6:E$305,"КЦДЮТЭ",'Журнал регистрации НК'!G$6:G$305)</f>
        <v>0</v>
      </c>
      <c r="D109" s="187">
        <f>SUMIF('Журнал регистрации НК'!E$6:E$305,"КЦДЮТЭ",'Журнал регистрации НК'!H$6:H$305)</f>
        <v>0</v>
      </c>
      <c r="E109" s="223">
        <f>_xlfn.COUNTIFS('Журнал регистрации КС'!E$6:E$40,"КЦДЮТЭ")</f>
        <v>0</v>
      </c>
      <c r="F109" s="224">
        <f>_xlfn.SUMIFS('Журнал регистрации КС'!G$6:G$40,'Журнал регистрации КС'!E$6:E$40,"КЦДЮТЭ")</f>
        <v>0</v>
      </c>
      <c r="G109" s="223">
        <f>_xlfn.SUMIFS('Журнал регистрации КС'!H$6:H$40,'Журнал регистрации КС'!E$6:E$40,"КЦДЮТЭ")</f>
        <v>0</v>
      </c>
      <c r="H109" s="184">
        <f>B109+E109</f>
        <v>0</v>
      </c>
      <c r="I109" s="184">
        <f>D109+G109</f>
        <v>0</v>
      </c>
      <c r="J109" s="186">
        <f>C109+F109</f>
        <v>0</v>
      </c>
      <c r="K109" s="186">
        <f>I109+J109</f>
        <v>0</v>
      </c>
    </row>
  </sheetData>
  <sheetProtection password="CC66" sheet="1"/>
  <mergeCells count="12">
    <mergeCell ref="R15:R16"/>
    <mergeCell ref="A2:A3"/>
    <mergeCell ref="B2:P2"/>
    <mergeCell ref="A15:A16"/>
    <mergeCell ref="B15:P15"/>
    <mergeCell ref="Q15:Q16"/>
    <mergeCell ref="H74:H75"/>
    <mergeCell ref="I74:I75"/>
    <mergeCell ref="A74:A75"/>
    <mergeCell ref="B74:G74"/>
    <mergeCell ref="J74:J75"/>
    <mergeCell ref="K74:K75"/>
  </mergeCells>
  <printOptions/>
  <pageMargins left="0.7" right="0.7" top="0.75" bottom="0.75" header="0.3" footer="0.3"/>
  <pageSetup horizontalDpi="600" verticalDpi="600" orientation="portrait" paperSize="9" r:id="rId1"/>
  <ignoredErrors>
    <ignoredError sqref="B77:D7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FF00"/>
  </sheetPr>
  <dimension ref="A1:H57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6.00390625" style="0" customWidth="1"/>
    <col min="2" max="2" width="12.625" style="0" customWidth="1"/>
    <col min="3" max="3" width="52.625" style="0" customWidth="1"/>
    <col min="4" max="4" width="21.625" style="0" customWidth="1"/>
    <col min="5" max="5" width="22.375" style="0" customWidth="1"/>
    <col min="6" max="6" width="21.875" style="0" customWidth="1"/>
  </cols>
  <sheetData>
    <row r="1" spans="1:2" ht="20.25">
      <c r="A1" s="110" t="s">
        <v>132</v>
      </c>
      <c r="B1" s="111" t="s">
        <v>133</v>
      </c>
    </row>
    <row r="2" spans="1:8" ht="12.75">
      <c r="A2" s="4" t="s">
        <v>17</v>
      </c>
      <c r="B2" s="3"/>
      <c r="C2" s="6" t="s">
        <v>41</v>
      </c>
      <c r="D2" s="6" t="s">
        <v>40</v>
      </c>
      <c r="E2" s="6" t="s">
        <v>178</v>
      </c>
      <c r="F2" s="6" t="s">
        <v>179</v>
      </c>
      <c r="H2" s="177" t="s">
        <v>179</v>
      </c>
    </row>
    <row r="3" spans="1:8" ht="12.75">
      <c r="A3" s="5" t="s">
        <v>177</v>
      </c>
      <c r="C3" s="8" t="s">
        <v>42</v>
      </c>
      <c r="D3" s="157" t="s">
        <v>141</v>
      </c>
      <c r="E3" s="157" t="s">
        <v>141</v>
      </c>
      <c r="F3" s="158" t="s">
        <v>181</v>
      </c>
      <c r="H3" s="178"/>
    </row>
    <row r="4" spans="1:8" ht="12.75">
      <c r="A4" s="5" t="s">
        <v>12</v>
      </c>
      <c r="C4" s="8" t="s">
        <v>31</v>
      </c>
      <c r="D4" s="157" t="s">
        <v>142</v>
      </c>
      <c r="E4" s="157" t="s">
        <v>142</v>
      </c>
      <c r="F4" s="158" t="s">
        <v>156</v>
      </c>
      <c r="H4" t="s">
        <v>178</v>
      </c>
    </row>
    <row r="5" spans="1:6" ht="12.75">
      <c r="A5" s="5" t="s">
        <v>13</v>
      </c>
      <c r="C5" s="8" t="s">
        <v>33</v>
      </c>
      <c r="D5" s="158" t="s">
        <v>181</v>
      </c>
      <c r="E5" s="157" t="s">
        <v>143</v>
      </c>
      <c r="F5" s="158" t="s">
        <v>157</v>
      </c>
    </row>
    <row r="6" spans="1:6" ht="12.75">
      <c r="A6" s="5" t="s">
        <v>14</v>
      </c>
      <c r="C6" s="8" t="s">
        <v>32</v>
      </c>
      <c r="D6" s="157" t="s">
        <v>143</v>
      </c>
      <c r="E6" s="157" t="s">
        <v>145</v>
      </c>
      <c r="F6" s="158" t="s">
        <v>158</v>
      </c>
    </row>
    <row r="7" spans="1:6" ht="12.75">
      <c r="A7" s="5" t="s">
        <v>198</v>
      </c>
      <c r="C7" s="9" t="s">
        <v>63</v>
      </c>
      <c r="D7" s="158" t="s">
        <v>156</v>
      </c>
      <c r="E7" s="157" t="s">
        <v>184</v>
      </c>
      <c r="F7" s="158" t="s">
        <v>159</v>
      </c>
    </row>
    <row r="8" spans="1:6" ht="12.75">
      <c r="A8" s="5" t="s">
        <v>15</v>
      </c>
      <c r="C8" t="s">
        <v>64</v>
      </c>
      <c r="D8" s="158" t="s">
        <v>157</v>
      </c>
      <c r="E8" s="157" t="s">
        <v>146</v>
      </c>
      <c r="F8" s="158" t="s">
        <v>144</v>
      </c>
    </row>
    <row r="9" spans="1:6" ht="12.75">
      <c r="A9" s="5" t="s">
        <v>16</v>
      </c>
      <c r="C9" s="9" t="s">
        <v>24</v>
      </c>
      <c r="D9" s="157" t="s">
        <v>145</v>
      </c>
      <c r="E9" s="157" t="s">
        <v>147</v>
      </c>
      <c r="F9" s="158" t="s">
        <v>182</v>
      </c>
    </row>
    <row r="10" spans="1:6" ht="12.75">
      <c r="A10" s="5" t="s">
        <v>202</v>
      </c>
      <c r="C10" s="9" t="s">
        <v>36</v>
      </c>
      <c r="D10" s="157" t="s">
        <v>184</v>
      </c>
      <c r="E10" s="157" t="s">
        <v>160</v>
      </c>
      <c r="F10" s="158" t="s">
        <v>185</v>
      </c>
    </row>
    <row r="11" spans="1:6" ht="12.75">
      <c r="A11" s="5" t="s">
        <v>203</v>
      </c>
      <c r="C11" t="s">
        <v>55</v>
      </c>
      <c r="D11" s="158" t="s">
        <v>158</v>
      </c>
      <c r="E11" s="157" t="s">
        <v>148</v>
      </c>
      <c r="F11" s="158" t="s">
        <v>161</v>
      </c>
    </row>
    <row r="12" spans="3:6" ht="12.75">
      <c r="C12" s="9" t="s">
        <v>54</v>
      </c>
      <c r="D12" s="157" t="s">
        <v>146</v>
      </c>
      <c r="E12" s="157" t="s">
        <v>155</v>
      </c>
      <c r="F12" s="158" t="s">
        <v>154</v>
      </c>
    </row>
    <row r="13" spans="1:6" ht="12.75">
      <c r="A13" s="6" t="s">
        <v>197</v>
      </c>
      <c r="C13" s="9" t="s">
        <v>53</v>
      </c>
      <c r="D13" s="158" t="s">
        <v>159</v>
      </c>
      <c r="E13" s="157" t="s">
        <v>149</v>
      </c>
      <c r="F13" s="158" t="s">
        <v>186</v>
      </c>
    </row>
    <row r="14" spans="1:6" ht="12.75">
      <c r="A14" s="7" t="s">
        <v>19</v>
      </c>
      <c r="C14" t="s">
        <v>61</v>
      </c>
      <c r="D14" s="157" t="s">
        <v>147</v>
      </c>
      <c r="E14" s="157" t="s">
        <v>150</v>
      </c>
      <c r="F14" s="158" t="s">
        <v>183</v>
      </c>
    </row>
    <row r="15" spans="1:6" ht="12.75">
      <c r="A15" s="7" t="s">
        <v>6</v>
      </c>
      <c r="C15" s="9" t="s">
        <v>30</v>
      </c>
      <c r="D15" s="158" t="s">
        <v>144</v>
      </c>
      <c r="E15" s="157" t="s">
        <v>151</v>
      </c>
      <c r="F15" s="158" t="s">
        <v>162</v>
      </c>
    </row>
    <row r="16" spans="1:6" ht="12.75">
      <c r="A16" s="7" t="s">
        <v>9</v>
      </c>
      <c r="C16" s="9" t="s">
        <v>67</v>
      </c>
      <c r="D16" s="158" t="s">
        <v>182</v>
      </c>
      <c r="E16" s="157" t="s">
        <v>152</v>
      </c>
      <c r="F16" s="158" t="s">
        <v>163</v>
      </c>
    </row>
    <row r="17" spans="1:6" ht="12.75">
      <c r="A17" s="7" t="s">
        <v>7</v>
      </c>
      <c r="C17" s="9" t="s">
        <v>28</v>
      </c>
      <c r="D17" s="157" t="s">
        <v>160</v>
      </c>
      <c r="E17" s="157" t="s">
        <v>153</v>
      </c>
      <c r="F17" s="158" t="s">
        <v>164</v>
      </c>
    </row>
    <row r="18" spans="1:6" ht="12.75">
      <c r="A18" s="7" t="s">
        <v>8</v>
      </c>
      <c r="C18" s="9" t="s">
        <v>58</v>
      </c>
      <c r="D18" s="157" t="s">
        <v>148</v>
      </c>
      <c r="E18" s="157"/>
      <c r="F18" s="158" t="s">
        <v>165</v>
      </c>
    </row>
    <row r="19" spans="1:6" ht="12.75">
      <c r="A19" s="7" t="s">
        <v>176</v>
      </c>
      <c r="C19" s="9" t="s">
        <v>59</v>
      </c>
      <c r="D19" s="157" t="s">
        <v>155</v>
      </c>
      <c r="F19" s="158" t="s">
        <v>166</v>
      </c>
    </row>
    <row r="20" spans="1:6" ht="12.75">
      <c r="A20" s="7" t="s">
        <v>196</v>
      </c>
      <c r="C20" t="s">
        <v>113</v>
      </c>
      <c r="D20" s="158" t="s">
        <v>209</v>
      </c>
      <c r="F20" s="158" t="s">
        <v>167</v>
      </c>
    </row>
    <row r="21" spans="1:4" ht="12.75">
      <c r="A21" s="6" t="s">
        <v>82</v>
      </c>
      <c r="C21" s="9" t="s">
        <v>43</v>
      </c>
      <c r="D21" s="157" t="s">
        <v>149</v>
      </c>
    </row>
    <row r="22" spans="1:4" ht="12.75">
      <c r="A22" s="24">
        <v>1</v>
      </c>
      <c r="C22" s="9" t="s">
        <v>51</v>
      </c>
      <c r="D22" s="157" t="s">
        <v>150</v>
      </c>
    </row>
    <row r="23" spans="1:4" ht="12.75">
      <c r="A23" s="24">
        <v>2</v>
      </c>
      <c r="C23" s="9" t="s">
        <v>50</v>
      </c>
      <c r="D23" s="157" t="s">
        <v>151</v>
      </c>
    </row>
    <row r="24" spans="1:4" ht="12.75">
      <c r="A24" s="24">
        <v>3</v>
      </c>
      <c r="C24" t="s">
        <v>60</v>
      </c>
      <c r="D24" s="158" t="s">
        <v>161</v>
      </c>
    </row>
    <row r="25" spans="1:4" ht="12.75">
      <c r="A25" s="24">
        <v>4</v>
      </c>
      <c r="C25" s="9" t="s">
        <v>73</v>
      </c>
      <c r="D25" s="158" t="s">
        <v>154</v>
      </c>
    </row>
    <row r="26" spans="1:4" ht="12.75">
      <c r="A26" s="24" t="s">
        <v>86</v>
      </c>
      <c r="C26" s="9" t="s">
        <v>23</v>
      </c>
      <c r="D26" s="157" t="s">
        <v>152</v>
      </c>
    </row>
    <row r="27" spans="1:4" ht="12.75">
      <c r="A27" s="24" t="s">
        <v>87</v>
      </c>
      <c r="C27" s="9" t="s">
        <v>26</v>
      </c>
      <c r="D27" s="253" t="s">
        <v>186</v>
      </c>
    </row>
    <row r="28" spans="1:4" ht="12.75">
      <c r="A28" s="250" t="s">
        <v>208</v>
      </c>
      <c r="C28" t="s">
        <v>79</v>
      </c>
      <c r="D28" s="158" t="s">
        <v>183</v>
      </c>
    </row>
    <row r="29" spans="3:4" ht="12.75">
      <c r="C29" s="9" t="s">
        <v>22</v>
      </c>
      <c r="D29" s="158" t="s">
        <v>162</v>
      </c>
    </row>
    <row r="30" spans="3:4" ht="12.75">
      <c r="C30" s="9" t="s">
        <v>27</v>
      </c>
      <c r="D30" s="158" t="s">
        <v>163</v>
      </c>
    </row>
    <row r="31" spans="3:4" ht="12.75">
      <c r="C31" s="9" t="s">
        <v>74</v>
      </c>
      <c r="D31" s="158" t="s">
        <v>164</v>
      </c>
    </row>
    <row r="32" spans="3:4" ht="12.75">
      <c r="C32" t="s">
        <v>25</v>
      </c>
      <c r="D32" s="157" t="s">
        <v>153</v>
      </c>
    </row>
    <row r="33" spans="3:4" ht="12.75">
      <c r="C33" t="s">
        <v>62</v>
      </c>
      <c r="D33" s="158" t="s">
        <v>165</v>
      </c>
    </row>
    <row r="34" spans="3:4" ht="12.75">
      <c r="C34" t="s">
        <v>76</v>
      </c>
      <c r="D34" s="158" t="s">
        <v>166</v>
      </c>
    </row>
    <row r="35" spans="3:4" ht="12.75">
      <c r="C35" s="9" t="s">
        <v>29</v>
      </c>
      <c r="D35" s="158" t="s">
        <v>167</v>
      </c>
    </row>
    <row r="36" spans="3:4" ht="12.75">
      <c r="C36" s="9" t="s">
        <v>34</v>
      </c>
      <c r="D36" s="246" t="s">
        <v>201</v>
      </c>
    </row>
    <row r="37" ht="12.75">
      <c r="C37" t="s">
        <v>75</v>
      </c>
    </row>
    <row r="38" ht="12.75">
      <c r="C38" s="9" t="s">
        <v>66</v>
      </c>
    </row>
    <row r="39" ht="12.75">
      <c r="C39" s="9" t="s">
        <v>37</v>
      </c>
    </row>
    <row r="40" ht="12.75">
      <c r="C40" s="9" t="s">
        <v>38</v>
      </c>
    </row>
    <row r="41" ht="12.75">
      <c r="C41" t="s">
        <v>65</v>
      </c>
    </row>
    <row r="42" ht="12.75">
      <c r="C42" t="s">
        <v>77</v>
      </c>
    </row>
    <row r="43" ht="12.75">
      <c r="C43" t="s">
        <v>72</v>
      </c>
    </row>
    <row r="44" ht="12.75">
      <c r="C44" t="s">
        <v>71</v>
      </c>
    </row>
    <row r="45" ht="12.75">
      <c r="C45" t="s">
        <v>69</v>
      </c>
    </row>
    <row r="46" ht="12.75">
      <c r="C46" t="s">
        <v>78</v>
      </c>
    </row>
    <row r="47" ht="12.75">
      <c r="C47" s="9" t="s">
        <v>35</v>
      </c>
    </row>
    <row r="48" ht="12.75">
      <c r="C48" t="s">
        <v>68</v>
      </c>
    </row>
    <row r="49" ht="12.75">
      <c r="C49" s="9" t="s">
        <v>44</v>
      </c>
    </row>
    <row r="50" ht="12.75">
      <c r="C50" s="9" t="s">
        <v>48</v>
      </c>
    </row>
    <row r="51" ht="12.75">
      <c r="C51" s="9" t="s">
        <v>49</v>
      </c>
    </row>
    <row r="52" ht="12.75">
      <c r="C52" s="9" t="s">
        <v>45</v>
      </c>
    </row>
    <row r="53" ht="12.75">
      <c r="C53" s="9" t="s">
        <v>46</v>
      </c>
    </row>
    <row r="54" ht="12.75">
      <c r="C54" s="9" t="s">
        <v>56</v>
      </c>
    </row>
    <row r="55" ht="12.75">
      <c r="C55" s="9" t="s">
        <v>57</v>
      </c>
    </row>
    <row r="56" ht="12.75">
      <c r="C56" s="9" t="s">
        <v>47</v>
      </c>
    </row>
    <row r="57" ht="12.75">
      <c r="C57" t="s">
        <v>70</v>
      </c>
    </row>
  </sheetData>
  <sheetProtection password="CC66" sheet="1"/>
  <dataValidations count="6">
    <dataValidation type="list" allowBlank="1" showInputMessage="1" showErrorMessage="1" sqref="H3">
      <formula1>INDIRECT($H$2)</formula1>
    </dataValidation>
    <dataValidation type="list" allowBlank="1" showInputMessage="1" showErrorMessage="1" sqref="D2">
      <formula1>$D$3:$D$35</formula1>
    </dataValidation>
    <dataValidation type="list" allowBlank="1" showInputMessage="1" showErrorMessage="1" sqref="H2">
      <formula1>$E$2:$F$2</formula1>
    </dataValidation>
    <dataValidation type="list" allowBlank="1" showInputMessage="1" showErrorMessage="1" sqref="E2">
      <formula1>$E$3:$E$18</formula1>
    </dataValidation>
    <dataValidation type="list" allowBlank="1" showInputMessage="1" showErrorMessage="1" sqref="F2">
      <formula1>$F$3:$F$20</formula1>
    </dataValidation>
    <dataValidation type="list" allowBlank="1" showInputMessage="1" showErrorMessage="1" sqref="H4">
      <formula1>INDIRECT("$H$2")</formula1>
    </dataValidation>
  </dataValidation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регистрации МКК</dc:title>
  <dc:subject/>
  <dc:creator>Наталья Аксенова</dc:creator>
  <cp:keywords/>
  <dc:description/>
  <cp:lastModifiedBy>Пользователь Windows</cp:lastModifiedBy>
  <cp:lastPrinted>2023-08-01T06:06:36Z</cp:lastPrinted>
  <dcterms:created xsi:type="dcterms:W3CDTF">2015-03-04T12:51:06Z</dcterms:created>
  <dcterms:modified xsi:type="dcterms:W3CDTF">2024-01-12T02:51:43Z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